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40" windowHeight="5820" tabRatio="781" activeTab="0"/>
  </bookViews>
  <sheets>
    <sheet name="Pamatbudžets  1.pielikums " sheetId="1" r:id="rId1"/>
    <sheet name="Pamatbudžets  2.pielikums " sheetId="2" r:id="rId2"/>
  </sheets>
  <definedNames>
    <definedName name="_xlnm.Print_Titles" localSheetId="0">'Pamatbudžets  1.pielikums '!$7:$7</definedName>
  </definedNames>
  <calcPr fullCalcOnLoad="1"/>
</workbook>
</file>

<file path=xl/sharedStrings.xml><?xml version="1.0" encoding="utf-8"?>
<sst xmlns="http://schemas.openxmlformats.org/spreadsheetml/2006/main" count="836" uniqueCount="791">
  <si>
    <t>Izglītība</t>
  </si>
  <si>
    <t>04.000</t>
  </si>
  <si>
    <t>05.200</t>
  </si>
  <si>
    <t>06.000</t>
  </si>
  <si>
    <t>07.000</t>
  </si>
  <si>
    <t>Kultūra</t>
  </si>
  <si>
    <t>08.000</t>
  </si>
  <si>
    <t>10.000</t>
  </si>
  <si>
    <t>Sporta centrs</t>
  </si>
  <si>
    <t>Kods</t>
  </si>
  <si>
    <t>Pielikums Nr.1</t>
  </si>
  <si>
    <t>4.1.1.0.</t>
  </si>
  <si>
    <t>4.1.2.0.</t>
  </si>
  <si>
    <t>5.4.1.0.</t>
  </si>
  <si>
    <t>Pašvaldību nodevas</t>
  </si>
  <si>
    <t>9.5.0.0.</t>
  </si>
  <si>
    <t>05.000</t>
  </si>
  <si>
    <t>Pabalsts maznodrošinātām ģimenēm</t>
  </si>
  <si>
    <t>Pašvaldības policija</t>
  </si>
  <si>
    <t>Kopā izdevumi:</t>
  </si>
  <si>
    <t>S.Velberga</t>
  </si>
  <si>
    <t>Nodokļu ieņēmumi</t>
  </si>
  <si>
    <t>1.1.1.0.</t>
  </si>
  <si>
    <t>4.1.0.0.</t>
  </si>
  <si>
    <t>Nekustamā īpašuma nodoklis</t>
  </si>
  <si>
    <t>Nekustamā īpašuma nodoklis par zemi</t>
  </si>
  <si>
    <t xml:space="preserve">Nekustamā īpašuma nodoklis par ēkām </t>
  </si>
  <si>
    <t>Azartspēļu nodoklis</t>
  </si>
  <si>
    <t>Nenodokļu ieņēmumi</t>
  </si>
  <si>
    <t>9.4.0.0.</t>
  </si>
  <si>
    <t>Valsts nodevas, kuras ieskaita pašvaldību budžetā</t>
  </si>
  <si>
    <t>Pārējie nenodokļu ieņēmumi</t>
  </si>
  <si>
    <t>18.0.0.0.</t>
  </si>
  <si>
    <t>Valsts budžeta transferti</t>
  </si>
  <si>
    <t>19.0.0.0.</t>
  </si>
  <si>
    <t>Pašvaldību budžetu transferti</t>
  </si>
  <si>
    <t>19.2.0.0.</t>
  </si>
  <si>
    <t>19.3.0.0.</t>
  </si>
  <si>
    <t>21.0.0.0.</t>
  </si>
  <si>
    <t>Budžeta iestāžu ieņēmumi</t>
  </si>
  <si>
    <t>21.3.0.0.</t>
  </si>
  <si>
    <t>21.3.8.0.</t>
  </si>
  <si>
    <t>Ieņēmumi par nomu un īri</t>
  </si>
  <si>
    <t>21.3.9.0.</t>
  </si>
  <si>
    <t>Ieņēmumi par pārējiem budžeta iestāžu maksas pakalpojumiem</t>
  </si>
  <si>
    <t>KOPĀ IEŅĒMUMI</t>
  </si>
  <si>
    <t>Kopā ar kredītresursiem:</t>
  </si>
  <si>
    <t>Kopā ar budžeta atlikumu</t>
  </si>
  <si>
    <t>Pielikums Nr.2</t>
  </si>
  <si>
    <t>01.000</t>
  </si>
  <si>
    <t>Vispārējie valdības dienesti</t>
  </si>
  <si>
    <t>01.720</t>
  </si>
  <si>
    <t>Pašvaldību budžetu parāda darījumi</t>
  </si>
  <si>
    <t>01.721</t>
  </si>
  <si>
    <t>01.830</t>
  </si>
  <si>
    <t>Vispārēja rakstura transferti no pašvaldību budžeta pašvaldību budžetam</t>
  </si>
  <si>
    <t>01.890</t>
  </si>
  <si>
    <t>03.000</t>
  </si>
  <si>
    <t>Sabiedriskā kārtība un drošība</t>
  </si>
  <si>
    <t>Ekonomiskā darbība</t>
  </si>
  <si>
    <t>04.111</t>
  </si>
  <si>
    <t>Vispārējas ekonomiskas darbības vadība</t>
  </si>
  <si>
    <t>04.210</t>
  </si>
  <si>
    <t>04.220</t>
  </si>
  <si>
    <t>Mežsaimniecība un medniecība</t>
  </si>
  <si>
    <t>04.510</t>
  </si>
  <si>
    <t>Autotransports</t>
  </si>
  <si>
    <t>04.600</t>
  </si>
  <si>
    <t>Sakari</t>
  </si>
  <si>
    <t>Vides aizsardzība</t>
  </si>
  <si>
    <t>05.100</t>
  </si>
  <si>
    <t>Atkritumu apsaimniekošana</t>
  </si>
  <si>
    <t>Notekūdeņu apsaimniekošana</t>
  </si>
  <si>
    <t>Pašvaldības teritoriju un mājokļu apsaimniekošana</t>
  </si>
  <si>
    <t>06.300</t>
  </si>
  <si>
    <t>Ūdensapgāde</t>
  </si>
  <si>
    <t>Ielu apgaismošana</t>
  </si>
  <si>
    <t>06.600</t>
  </si>
  <si>
    <t>Pārējā citur nekvalificētā pašvaldību teritoriju un mājokļu apsaimniekošanas darbība</t>
  </si>
  <si>
    <t>Veselība</t>
  </si>
  <si>
    <t>07.210</t>
  </si>
  <si>
    <t>Ambulatorās ārstniecības iestādes</t>
  </si>
  <si>
    <t>Atpūta, kultūra un reliģija</t>
  </si>
  <si>
    <t>08.100</t>
  </si>
  <si>
    <t>Atpūtas un sporta  pasākumi</t>
  </si>
  <si>
    <t>08.200</t>
  </si>
  <si>
    <t>08.230</t>
  </si>
  <si>
    <t>08.290</t>
  </si>
  <si>
    <t>Televīzija</t>
  </si>
  <si>
    <t>09.000</t>
  </si>
  <si>
    <t>09.100</t>
  </si>
  <si>
    <t>PII  "Cīrulītis"</t>
  </si>
  <si>
    <t>PII  "Dzīpariņš"</t>
  </si>
  <si>
    <t>PII  "Zelta sietiņš"</t>
  </si>
  <si>
    <t>PII  "Saulīte"</t>
  </si>
  <si>
    <t>PII " Ābelīte"</t>
  </si>
  <si>
    <t>09.211</t>
  </si>
  <si>
    <t>Ogres 1. vidusskola</t>
  </si>
  <si>
    <t>Jaunogres vidusskola</t>
  </si>
  <si>
    <t>09.510</t>
  </si>
  <si>
    <t>Interešu un profesionālās ievirzes izglītība</t>
  </si>
  <si>
    <t>09.820</t>
  </si>
  <si>
    <t>Sociālā aizsardzība</t>
  </si>
  <si>
    <t>10.600</t>
  </si>
  <si>
    <t>Mājokļa atbalsts</t>
  </si>
  <si>
    <t>10.700</t>
  </si>
  <si>
    <t>Pārējais citur neklasificēts atbalsts sociāli atstumtām personām</t>
  </si>
  <si>
    <t xml:space="preserve">Sociālais dienests </t>
  </si>
  <si>
    <t>Basketbola skola</t>
  </si>
  <si>
    <t>Nemateriālie ieguldījumi</t>
  </si>
  <si>
    <t>13.0.0.0.</t>
  </si>
  <si>
    <t xml:space="preserve">    Muzeji un izstādes</t>
  </si>
  <si>
    <t>PII " Strautiņš"</t>
  </si>
  <si>
    <t xml:space="preserve">Pozīcijas nosaukums             </t>
  </si>
  <si>
    <t>Ieņēmumi no iedzīvotāju ienākuma nodokļa</t>
  </si>
  <si>
    <t>4.0.0.0.</t>
  </si>
  <si>
    <t>Īpašuma nodokļi</t>
  </si>
  <si>
    <t>8.6.0.0.</t>
  </si>
  <si>
    <t>Procentu ieņēmumi par depozītiem, kontu atlikumiem un vērtpapīriem</t>
  </si>
  <si>
    <t>10.1.0.0.</t>
  </si>
  <si>
    <t>Naudas sodi</t>
  </si>
  <si>
    <t>19.1.0.0.</t>
  </si>
  <si>
    <t>21.3.5.0.</t>
  </si>
  <si>
    <t>Maksa par izglītības pakalpojumiem</t>
  </si>
  <si>
    <t>21.3.7.0.</t>
  </si>
  <si>
    <t>Būvvalde</t>
  </si>
  <si>
    <t>Mājokļu attīstība pašvaldībā</t>
  </si>
  <si>
    <t xml:space="preserve">    Bibliotēkas </t>
  </si>
  <si>
    <t>PII "Riekstiņš"</t>
  </si>
  <si>
    <t>PII "Taurenītis"</t>
  </si>
  <si>
    <t xml:space="preserve">Ķeipenes pamatskola </t>
  </si>
  <si>
    <t>Madlienas vidusskola</t>
  </si>
  <si>
    <t>09.219</t>
  </si>
  <si>
    <t>Suntažu vidusskola</t>
  </si>
  <si>
    <t>09.600</t>
  </si>
  <si>
    <t>Izglītības papildu pakalpojumi</t>
  </si>
  <si>
    <t>Atbalsts bezdarba gadījumā</t>
  </si>
  <si>
    <t xml:space="preserve">Sabiedriskās organizācijas </t>
  </si>
  <si>
    <t>Pansionāts "Madliena"</t>
  </si>
  <si>
    <t>Preces un pakalpojumi</t>
  </si>
  <si>
    <t>Pakalpojumi</t>
  </si>
  <si>
    <t>Krājumi,materiāli,energoresursi,prece,biroja preces un inventārs, ko neuzskaita  5000. kodā</t>
  </si>
  <si>
    <t>Izdevumi periodikas iegādei</t>
  </si>
  <si>
    <t>Budžeta iestāžu nodokļu maksājumi</t>
  </si>
  <si>
    <t xml:space="preserve">Pārējie procentu maksājumi </t>
  </si>
  <si>
    <t>Pamatlīdzekļi</t>
  </si>
  <si>
    <t xml:space="preserve">Sociālie pabalsti naudā </t>
  </si>
  <si>
    <t>Sociālie pabalsti natūrā</t>
  </si>
  <si>
    <t xml:space="preserve"> IZDEVUMI KOPĀ</t>
  </si>
  <si>
    <t>21.1.0.0.</t>
  </si>
  <si>
    <t xml:space="preserve">Budžeta iestādes ieņēmumi no ārvalstu finanšu palīdzības </t>
  </si>
  <si>
    <t>Kapitālieguldījumu fondu akcijas</t>
  </si>
  <si>
    <t>Suntažu pagasta pārvalde</t>
  </si>
  <si>
    <t>Madlienas pagasta pārvalde</t>
  </si>
  <si>
    <t>Meņģeles pagasta pārvalde</t>
  </si>
  <si>
    <t>Mazozolu pagasta pārvalde</t>
  </si>
  <si>
    <t>Atalgojums</t>
  </si>
  <si>
    <t>Lauberes pagasta pārvalde</t>
  </si>
  <si>
    <t>Atbalsts ģimenēm ar bērniem (Bāriņtiesas)</t>
  </si>
  <si>
    <t>Taurupes pagasta pārvalde</t>
  </si>
  <si>
    <t>Ķeipenes pagasta pārvalde</t>
  </si>
  <si>
    <t>18.6.0.0.</t>
  </si>
  <si>
    <t>Ogres sākumskola</t>
  </si>
  <si>
    <t>Krapes pagasta pārvalde</t>
  </si>
  <si>
    <t>4.1.3.0.</t>
  </si>
  <si>
    <t>Nekustamā īpašuma nodoklis par mājokļiem</t>
  </si>
  <si>
    <t>Pašvaldību saņemtie transferti no valsts budžeta</t>
  </si>
  <si>
    <t>Pašvaldības budžeta iekšējie transferti starp vienas pašvaldības budžeta veidiem</t>
  </si>
  <si>
    <t>Pašvaldību saņemtie transferti no citām pašvaldībām</t>
  </si>
  <si>
    <t>Ieņēmumi no budžeta iestāžu sniegtajiem maksas pakalpojumiem un citi pašu ieņēmumi</t>
  </si>
  <si>
    <t>01.100</t>
  </si>
  <si>
    <t xml:space="preserve">Izpildvaras un likumdošanas varas  institūcijas </t>
  </si>
  <si>
    <t>Vispārēja rakstura transferti no pašvaldību budžeta valsts budžetam</t>
  </si>
  <si>
    <t xml:space="preserve">Izdevumi neparedzētiem gadījumiem </t>
  </si>
  <si>
    <t>04.11101</t>
  </si>
  <si>
    <t>Uzņēmējdarbības  attīstības veicināšanai</t>
  </si>
  <si>
    <t xml:space="preserve">Lauksaimniecība </t>
  </si>
  <si>
    <t>04.51004</t>
  </si>
  <si>
    <t>Pārējais autotransports</t>
  </si>
  <si>
    <t>04.6001</t>
  </si>
  <si>
    <t>05.1001</t>
  </si>
  <si>
    <t>05.2001</t>
  </si>
  <si>
    <t>05.2002</t>
  </si>
  <si>
    <t>05.300</t>
  </si>
  <si>
    <t>Vides piesārņojuma novēršana un samazināšana</t>
  </si>
  <si>
    <t>05.400</t>
  </si>
  <si>
    <t>Bioloģiskās daudzveidības un ainavas aizsardzība</t>
  </si>
  <si>
    <t>Teritoriju attīstība ( projektēšanai )</t>
  </si>
  <si>
    <t>06.60001</t>
  </si>
  <si>
    <t>06.60002</t>
  </si>
  <si>
    <t>06.60003</t>
  </si>
  <si>
    <t>06.60006</t>
  </si>
  <si>
    <t>06.60007</t>
  </si>
  <si>
    <t>06.60008</t>
  </si>
  <si>
    <t>06.60009</t>
  </si>
  <si>
    <t>06.60010</t>
  </si>
  <si>
    <t>08.1001</t>
  </si>
  <si>
    <t>08.1002</t>
  </si>
  <si>
    <t>08.2202</t>
  </si>
  <si>
    <t>Pārējā citur neklasificētā kultūra</t>
  </si>
  <si>
    <t>08.29001</t>
  </si>
  <si>
    <t>08.29002</t>
  </si>
  <si>
    <t xml:space="preserve">Pirmsskolas izglītība </t>
  </si>
  <si>
    <t>09.10002</t>
  </si>
  <si>
    <t>09.10003</t>
  </si>
  <si>
    <t>09.10004</t>
  </si>
  <si>
    <t>09.10005</t>
  </si>
  <si>
    <t>09.10006</t>
  </si>
  <si>
    <t>09.10007</t>
  </si>
  <si>
    <t>09.10008</t>
  </si>
  <si>
    <t>09.10009</t>
  </si>
  <si>
    <t>09.10010</t>
  </si>
  <si>
    <t>Sākumskolas (ISCED-97 1. līmenis)</t>
  </si>
  <si>
    <t>Vispārējās izglītības mācību iestāžu izdevumi (ISCED-97 1.- 3. līmenis)</t>
  </si>
  <si>
    <t>09.21901</t>
  </si>
  <si>
    <t>09.21902</t>
  </si>
  <si>
    <t>09.21903</t>
  </si>
  <si>
    <t>09.21904</t>
  </si>
  <si>
    <t>09.21905</t>
  </si>
  <si>
    <t>09.21906</t>
  </si>
  <si>
    <t>09.21907</t>
  </si>
  <si>
    <t>09.21908</t>
  </si>
  <si>
    <t>09.5101</t>
  </si>
  <si>
    <t>09.5102</t>
  </si>
  <si>
    <t>09.5103</t>
  </si>
  <si>
    <t>09.5106</t>
  </si>
  <si>
    <t>Pārējā citur neklasificētā izglītība (izglītības projektu realizācija)</t>
  </si>
  <si>
    <t>10.70001</t>
  </si>
  <si>
    <t>10.70002</t>
  </si>
  <si>
    <t>10.70005</t>
  </si>
  <si>
    <t>10.70010</t>
  </si>
  <si>
    <t>01.830    7230</t>
  </si>
  <si>
    <t>Pašvaldību  uzturēšanas izdevumu transferti padotības iestādēm</t>
  </si>
  <si>
    <t>Darba devēja valsts sociālās apdrošināšanas obligātās iemaksas, sociālā rakstura pabalsti un kompensācijas</t>
  </si>
  <si>
    <t>Subsīdijas un dotācijas komersantiem, biedrībām un nodibinājumiem</t>
  </si>
  <si>
    <t>Pārējie maksājumi iedzīvotājiem natūrā un kompensācijas</t>
  </si>
  <si>
    <t>Pašvaldību uzturēšanas izdevumu transferti</t>
  </si>
  <si>
    <t>06.100</t>
  </si>
  <si>
    <t>Dabas resursu nodoklis</t>
  </si>
  <si>
    <t>03.200</t>
  </si>
  <si>
    <t>Ugunsdrošības, glābšanas un civilās drošības dienesti</t>
  </si>
  <si>
    <t>Ieņēmumi no pašvaldības īpašuma iznomāšanas, pārdošanas un nodokļu pamatp.kapitaliz.</t>
  </si>
  <si>
    <t>Publisko interneta pieejas punktu attīstība</t>
  </si>
  <si>
    <t>Taurupes pamatskola</t>
  </si>
  <si>
    <t>Pašvaldību saņemtie transferti no valsts budžeta daļēji finansētām atvasinātām publiskām personām un no budžeta nefinansētām iestādēm</t>
  </si>
  <si>
    <t>17.2.0.0.</t>
  </si>
  <si>
    <t>Mājokļu apsaimniekošana</t>
  </si>
  <si>
    <t>Siltumapgāde</t>
  </si>
  <si>
    <t>08.29011</t>
  </si>
  <si>
    <t>Budžeta nodaļas vadītāja</t>
  </si>
  <si>
    <t>F20010000 AS</t>
  </si>
  <si>
    <t>F20010000 AB</t>
  </si>
  <si>
    <t>21.4.9.0</t>
  </si>
  <si>
    <t>Pārējie iepriekš neklasificētie pašu ieņēmumi</t>
  </si>
  <si>
    <t>05.1007</t>
  </si>
  <si>
    <t>06.1001</t>
  </si>
  <si>
    <t>08.1004</t>
  </si>
  <si>
    <t>09.82030</t>
  </si>
  <si>
    <t>Mācību, darba un dienesta komandējumi, dienesta, darba braucieni</t>
  </si>
  <si>
    <t>Kompensācijas, kuras izmaksā personām, pamatojoties uz Latvijas tiesu nolēmumiem</t>
  </si>
  <si>
    <t>10.70015</t>
  </si>
  <si>
    <t>Līdzekļu atlikums uz gada beigām (Kases apgrozāmie līdzekļi)  F22010020</t>
  </si>
  <si>
    <t>09.82032</t>
  </si>
  <si>
    <t>Informatīvi pasākumi uzņēmējiem</t>
  </si>
  <si>
    <t xml:space="preserve">Pašvaldības un tās iestāžu savstarpējie transferti </t>
  </si>
  <si>
    <t>07.4501</t>
  </si>
  <si>
    <t>08.2301</t>
  </si>
  <si>
    <t>10.70003</t>
  </si>
  <si>
    <t>Sociālā dienesta asistentu pakalpojumi</t>
  </si>
  <si>
    <t>Zaudējumi no valūtas kursa svārstībām</t>
  </si>
  <si>
    <t>01.83011</t>
  </si>
  <si>
    <t>03.2001</t>
  </si>
  <si>
    <t>04.11102</t>
  </si>
  <si>
    <t>04.11103</t>
  </si>
  <si>
    <t>04.4301</t>
  </si>
  <si>
    <t>05.4001</t>
  </si>
  <si>
    <t xml:space="preserve">Mājokļu attīstība </t>
  </si>
  <si>
    <t>06.2001</t>
  </si>
  <si>
    <t>07.2101</t>
  </si>
  <si>
    <t>08.29007</t>
  </si>
  <si>
    <t>10.70006</t>
  </si>
  <si>
    <t>Jauniešu garantijas ietvaros projekta "PROTI un DARI!" īstenošana</t>
  </si>
  <si>
    <t>06.60012</t>
  </si>
  <si>
    <t>08.2304</t>
  </si>
  <si>
    <t>08.300</t>
  </si>
  <si>
    <t>Apraides un izdevniecības pakalpojumi</t>
  </si>
  <si>
    <t>09.82001</t>
  </si>
  <si>
    <t>Karjeras atbalsts vispārējās un profesionālās izglītības iestādēs</t>
  </si>
  <si>
    <t>04.510010</t>
  </si>
  <si>
    <t>Atbalsts izglītojamo individuālo kompetenču attīstībai</t>
  </si>
  <si>
    <t>09.82039</t>
  </si>
  <si>
    <t>08.2101</t>
  </si>
  <si>
    <t>8.3.0.0.</t>
  </si>
  <si>
    <t>Īeņēmumi no dividendēm</t>
  </si>
  <si>
    <t>21.3.4.0.</t>
  </si>
  <si>
    <t>03.6002</t>
  </si>
  <si>
    <t>Atskurbtuves pakalpojumiem</t>
  </si>
  <si>
    <t>04.11116</t>
  </si>
  <si>
    <t>Ogres novadnieka karte</t>
  </si>
  <si>
    <t>08.2204</t>
  </si>
  <si>
    <t>08.2303</t>
  </si>
  <si>
    <t>08.3101</t>
  </si>
  <si>
    <t>08.3301</t>
  </si>
  <si>
    <t>10.70016</t>
  </si>
  <si>
    <t>ERAF "Pakalpojumu infrastruktūras attīstība deinstitualizācijas plānu īstenošanai"</t>
  </si>
  <si>
    <t>09.82002</t>
  </si>
  <si>
    <t>Atbalsts priekšlaicīgas mācību pārtraukšanas samazināšanai (Pumpurs)</t>
  </si>
  <si>
    <t>04.7301</t>
  </si>
  <si>
    <t>07.4502</t>
  </si>
  <si>
    <t>06.60022</t>
  </si>
  <si>
    <t>SIA Ogres namsaimnieks finansējums domes deliģēto funkciju izpildei</t>
  </si>
  <si>
    <t>Ieņēmumi par  dokumentu izsniegšanu un kancelejas pakalpojumiem</t>
  </si>
  <si>
    <t>01.6001</t>
  </si>
  <si>
    <t>Projektu pieteikumu izstrāde, tehniskās dokumentācijas sagatavošana</t>
  </si>
  <si>
    <t>Ielu tīrīšanai, atkritumu savākšanai,teritoriju labiekārtošanai</t>
  </si>
  <si>
    <t>06.3001</t>
  </si>
  <si>
    <t>Vispārējie ūdens apgādes izdevumi</t>
  </si>
  <si>
    <t>08.220</t>
  </si>
  <si>
    <t xml:space="preserve">    Kultūras centri, nami</t>
  </si>
  <si>
    <t>09.82003</t>
  </si>
  <si>
    <t>Latvijas Skolas Soma</t>
  </si>
  <si>
    <t>09.82010</t>
  </si>
  <si>
    <t>Pārējās izglītības iestāžu pedagogu profesionālās kompetences  pilnveide (Ģimnāzija)</t>
  </si>
  <si>
    <t>10.70009</t>
  </si>
  <si>
    <t>Konkurss Vides pieejamības nodrošināšana invalīdiem</t>
  </si>
  <si>
    <t>ES projekts "Deinstitucionalizācija un sociālie pakalpojumi personām ar invaliditāti un bērniem"</t>
  </si>
  <si>
    <t>Kapitālo izdevumu transferti</t>
  </si>
  <si>
    <t>Ogres novada pašvaldības domes</t>
  </si>
  <si>
    <t>5.5.3.0.</t>
  </si>
  <si>
    <t>12.0.0.0.</t>
  </si>
  <si>
    <t>Procentu ieņēmumi par maksas pakalpojumiem un pašu ieguldījumiem depozītā</t>
  </si>
  <si>
    <t>06.60027</t>
  </si>
  <si>
    <t>Finansējums bērniem, kuri apmeklē privātās pirmsskolas izglītības iestādes</t>
  </si>
  <si>
    <t>09.810</t>
  </si>
  <si>
    <t>Pārējā izglītības vadība (Izglītības pārvalde)</t>
  </si>
  <si>
    <t>10.400</t>
  </si>
  <si>
    <t>10.500</t>
  </si>
  <si>
    <t>Procentu maksājumi iekšzemes kredītiestādēm</t>
  </si>
  <si>
    <t>Pārējie iepriekš neuzskaitītie budžeta izdevumi, kas veidojas pēc uzkrāšanas principa un nav uzskaitīti citos 8000 apakškodos</t>
  </si>
  <si>
    <t>09.5107</t>
  </si>
  <si>
    <t>Ogres Mūzikas un mākslas skola</t>
  </si>
  <si>
    <t>Erasmus programmas projekts Nr.2020-1-LV01-KA101-077352 Skolu mācību mobilitāte (ģimnāzija)</t>
  </si>
  <si>
    <t>09.82048</t>
  </si>
  <si>
    <t>Erasmus programmas projekts Nr.2020-1-PL01-KA229-081399 6 Es izaicinu vecumu ar sparu, (ģimnāzija)</t>
  </si>
  <si>
    <t>09.82050</t>
  </si>
  <si>
    <t>Erasmus programmas projekts Nr.2020-1-FR01-KA229-079905 2, Sagatavo mūs nākotnei, (ģimnāzija)</t>
  </si>
  <si>
    <t>09.82052</t>
  </si>
  <si>
    <t>Erasmus programmas projekts Nr.2020-1-TR01-KA229-093575 5 Atklāj patieso dzīvi, (ģimnāzija)</t>
  </si>
  <si>
    <t>09.82051</t>
  </si>
  <si>
    <t>Erasmus programmas projekts Nr.2020-1-TR01-KA229-093837 4, , (ģimnāzija)</t>
  </si>
  <si>
    <t>09.82053</t>
  </si>
  <si>
    <t>06.60029</t>
  </si>
  <si>
    <t>Tirgus laukuma Suntažos uzturēšanai</t>
  </si>
  <si>
    <t>Reliģisko organizāciju un citu biedrību un nodibinājumu pakalpojumi (Sakrālā mantojuma saglabāšana)</t>
  </si>
  <si>
    <t>Civilās aizsardzības pasākumi (COVID-19 izdevumi)</t>
  </si>
  <si>
    <t>Finansējums bērniem, kuri apmeklē privātās izglītības iestādes</t>
  </si>
  <si>
    <t>09.21912</t>
  </si>
  <si>
    <t>Pārējie iepriekš neklasificētie vispārējie valdības dienesti (Vēlēšanas)</t>
  </si>
  <si>
    <t>09.82057</t>
  </si>
  <si>
    <t>09.82058</t>
  </si>
  <si>
    <t>Erasmus programmas projekts Nr.2020-1-DE03-KA229-077592 6, Eiropas ilgtspējīgas un pietiekamības skola, (1.VSK.)</t>
  </si>
  <si>
    <t>Starptautiskā sadarbība</t>
  </si>
  <si>
    <t>06.60031</t>
  </si>
  <si>
    <t>Projekts "Sugu un biotopu stāvokļa uzlabošanas pasākumi īpaši aizsargājamajā dabas teritorijā "Ogres ieleja""</t>
  </si>
  <si>
    <t>08.4001</t>
  </si>
  <si>
    <t>Birzgales muzejs "Rūķi"</t>
  </si>
  <si>
    <t>PII "Urdaviņa"</t>
  </si>
  <si>
    <t>PII "Čiekuriņš"</t>
  </si>
  <si>
    <t>Birzgales mūzikas skola</t>
  </si>
  <si>
    <t>10.900</t>
  </si>
  <si>
    <t>Pārējā citur neklasificētā sociālā aizsardzība</t>
  </si>
  <si>
    <t>Pārējo vispārējas  nozīmes dienestu darbība un pakalpojumi</t>
  </si>
  <si>
    <t>Jumpravas pamatskola</t>
  </si>
  <si>
    <t>Valdemāra pamatskola</t>
  </si>
  <si>
    <t>Lielvārdes sporta centrs</t>
  </si>
  <si>
    <t>Lielvārdes Mūzikas un mākslas skola</t>
  </si>
  <si>
    <t>F55 01 00 10</t>
  </si>
  <si>
    <t>Valsts kases aizņēmumi</t>
  </si>
  <si>
    <t>08.29026</t>
  </si>
  <si>
    <t>Ivestīciju projekts "Esošās ēkas rekonstrukcija Taurupes muižas klēts pārbūve"</t>
  </si>
  <si>
    <t>“Tūrisma, sporta un atpūtas komplekss“ ZILIE KALNI”</t>
  </si>
  <si>
    <t>Kultūras mantojuma centrs "Tīnūžu muiža"</t>
  </si>
  <si>
    <t>SIA Ikšķiles māja finansējums domes deliģēto funkciju izpildei</t>
  </si>
  <si>
    <t>Tīnūžu sākumskola</t>
  </si>
  <si>
    <t>Ikšķiles vidusskola</t>
  </si>
  <si>
    <t>Ikšķiles Mūzikas un mākslas skola</t>
  </si>
  <si>
    <t>Finansējums bērniem, kuri apmeklē privātās interešu izglītības iestādes</t>
  </si>
  <si>
    <t>PSIA "Ikšķiles māja" ieguldījums pamatkapitālā</t>
  </si>
  <si>
    <t>SIA "Lielvārdes Remte" ieguldījums pamatkapitālā</t>
  </si>
  <si>
    <t>Aģentūra “Tūrisma, sporta un atpūtas kompleksa “ZILIE KALNI” attīstības aģentūra"</t>
  </si>
  <si>
    <t>Aprūpes pakalpojumi bērniem</t>
  </si>
  <si>
    <t>F40 02 00 20</t>
  </si>
  <si>
    <t xml:space="preserve">Aizņēmumu atmaksa        </t>
  </si>
  <si>
    <t>F40 02 00 10</t>
  </si>
  <si>
    <t>01.300</t>
  </si>
  <si>
    <t>09.82061</t>
  </si>
  <si>
    <t>Atbalsts bērnu un jauniešu nometņu organizēšanai Ogres novada pašvaldības iestādēs</t>
  </si>
  <si>
    <t>01.8201</t>
  </si>
  <si>
    <t>Pārējie valsts budžeta uzturēšanas izdevumu transferti citiem budžetiem</t>
  </si>
  <si>
    <t xml:space="preserve">   </t>
  </si>
  <si>
    <t>09.82064</t>
  </si>
  <si>
    <t>Sūkņu stacijas (Ogres vārti) projektēšana</t>
  </si>
  <si>
    <t>04.51045</t>
  </si>
  <si>
    <t>09.21101</t>
  </si>
  <si>
    <t>Pašvaldību budžetu valsts iekšējā parāda darījumi</t>
  </si>
  <si>
    <t>Norēķini ar citu pašvaldību izglītības iestādēm</t>
  </si>
  <si>
    <t>04.11104</t>
  </si>
  <si>
    <t>Madlienas tirgus būvniecība</t>
  </si>
  <si>
    <t xml:space="preserve">Ceļu būvniecībai un remontiem </t>
  </si>
  <si>
    <t>04.510011</t>
  </si>
  <si>
    <t>04.510012</t>
  </si>
  <si>
    <t>Ceļu būvniecībai un remontiem Ķeguma Birzgales pagasts</t>
  </si>
  <si>
    <t>04.510013</t>
  </si>
  <si>
    <t>Ceļu būvniecībai un remontiem Lielvārde</t>
  </si>
  <si>
    <t>04.510014</t>
  </si>
  <si>
    <t xml:space="preserve">Ceļu būvniecībai un remontiem Lielvārdes Lēdmanes pagasts </t>
  </si>
  <si>
    <t>04.510015</t>
  </si>
  <si>
    <t>Ceļu būvniecībai un remontiem Lielvārdes Jumpravas pagasts</t>
  </si>
  <si>
    <t>04.510016</t>
  </si>
  <si>
    <t xml:space="preserve">Ceļu būvniecībai un remontiem Ikšķile </t>
  </si>
  <si>
    <t>04.51047</t>
  </si>
  <si>
    <t>04.51049</t>
  </si>
  <si>
    <t>Ietves izbūve Jāņa Čakstes prospekta posmā no Mazās Ķentes ielas līdz Skalbju ielai, Ogrē projektēšana un autoruzraudzība</t>
  </si>
  <si>
    <t>04.51050</t>
  </si>
  <si>
    <t>Vēju ielas seguma atjaunošana un lietus ūdens kanalizācijas sistēmas izveide būvprojekta izstrāde un autoruzraudzība</t>
  </si>
  <si>
    <t>04.51051</t>
  </si>
  <si>
    <t>04.51052</t>
  </si>
  <si>
    <t>04.51053</t>
  </si>
  <si>
    <t xml:space="preserve">Rotācijas apļu, Ogrē izbūves būvprojekta izstrāde un autoruzraudzība </t>
  </si>
  <si>
    <t>04.51054</t>
  </si>
  <si>
    <t>Skolas ielas (no Pirts ielas līdz Jaunogres prospektam), Ogrē pārbūves būvprojekta izstrāde un autoruzraudzība</t>
  </si>
  <si>
    <t>04.51055</t>
  </si>
  <si>
    <t>Veloceliņa uz Lielvārdi projektēšana</t>
  </si>
  <si>
    <t>04.7302</t>
  </si>
  <si>
    <t>04.7303</t>
  </si>
  <si>
    <t>Koncesija atkritumu apsaimniekošana</t>
  </si>
  <si>
    <t xml:space="preserve">Lietus ūdens kanalizācija </t>
  </si>
  <si>
    <t>Notekūdeņu (savākšana un attīrīšana)</t>
  </si>
  <si>
    <t>05.30017</t>
  </si>
  <si>
    <t>Ēkas Skolas ielā 4, Ikšķilē, energoefektivitātes uzlabošana un pārbūve par pašvaldības daudzfunkcionālu pakalpojumu centru</t>
  </si>
  <si>
    <t>Kapu saimniecība</t>
  </si>
  <si>
    <t>Projektu konkurss "Veidojam vidi ap mums Ogres novadā"</t>
  </si>
  <si>
    <t>Īpašumu uzmērīšanai un reģistrēšanai Zemesgrāmatā</t>
  </si>
  <si>
    <t>Pārējie izdevumi</t>
  </si>
  <si>
    <t>Nevalstisko organizāciju projektu atbalstam</t>
  </si>
  <si>
    <t>Saimniecības nodaļa</t>
  </si>
  <si>
    <t>Pašvaldības teritoriju labiekārtošana</t>
  </si>
  <si>
    <t>06.600121</t>
  </si>
  <si>
    <t>Ogres pilsētā un Ogresgala pārvaldē</t>
  </si>
  <si>
    <t>06.600122</t>
  </si>
  <si>
    <t>Lēdmanes pārvaldē</t>
  </si>
  <si>
    <t>06.600123</t>
  </si>
  <si>
    <t>Jumpravas pārvaldē</t>
  </si>
  <si>
    <t>06.600124</t>
  </si>
  <si>
    <t>Lielvārdes pārvaldē</t>
  </si>
  <si>
    <t>06.600125</t>
  </si>
  <si>
    <t>Birzgale pārvaldē</t>
  </si>
  <si>
    <t>06.600126</t>
  </si>
  <si>
    <t>Tomes pārvaldē</t>
  </si>
  <si>
    <t>06.600127</t>
  </si>
  <si>
    <t>Rembates pārvaldē</t>
  </si>
  <si>
    <t>06.600128</t>
  </si>
  <si>
    <t>Ķeguma pārvaldē</t>
  </si>
  <si>
    <t>06.600129</t>
  </si>
  <si>
    <t>Ikšķiles pārvaldē</t>
  </si>
  <si>
    <t>06.60024</t>
  </si>
  <si>
    <t>SIA Lielvārdes Remte- finansējums domes deliģētās funkcijas izpildei</t>
  </si>
  <si>
    <t>06.60025</t>
  </si>
  <si>
    <t>SIA Ķeguma Stars- finansējums domes deliģētās funkcijas izpildei</t>
  </si>
  <si>
    <t>06.60041</t>
  </si>
  <si>
    <t xml:space="preserve">E.Kauliņa skulptūra, muzikālais soliņš </t>
  </si>
  <si>
    <t>SAM 9.2.4.2. Pasākumi vietējās sabiedrības slimību profilaksei un veselības veicināšanai</t>
  </si>
  <si>
    <t xml:space="preserve">Veselības veicināšanas pasākumiem </t>
  </si>
  <si>
    <t>07.4504</t>
  </si>
  <si>
    <t>Pakalpojumu infrastruktūras attīstība deinstitucionalizācijas plānu īstenošanai Vienošanās Nr. 9.3.1.1/19/I/023</t>
  </si>
  <si>
    <t>Struktūrvienība peldbaseins  "Neptūns"</t>
  </si>
  <si>
    <t>08.210</t>
  </si>
  <si>
    <t>Ogres centrālā bibliotēka</t>
  </si>
  <si>
    <t>08.2102</t>
  </si>
  <si>
    <t>Pagastu bibliotēkas</t>
  </si>
  <si>
    <t>08.2103</t>
  </si>
  <si>
    <t>Ikšķiles pilsētas bibliotēka</t>
  </si>
  <si>
    <t>08.2104</t>
  </si>
  <si>
    <t>Tīnūžu bibliotēka</t>
  </si>
  <si>
    <t>08.2105</t>
  </si>
  <si>
    <t>Ķeguma pilsētas bibliotēka (tai skaitā Ķegums, Tome, Rembate)</t>
  </si>
  <si>
    <t>08.2106</t>
  </si>
  <si>
    <t>Birzgales bibliotēka</t>
  </si>
  <si>
    <t>08.2107</t>
  </si>
  <si>
    <t>Jumpravas bibliotēka</t>
  </si>
  <si>
    <t>08.2108</t>
  </si>
  <si>
    <t>Lēdmanes bibliotēka</t>
  </si>
  <si>
    <t>08.2109</t>
  </si>
  <si>
    <t>Lielvārdes pilsētas, Lāčplēša bibliotēka</t>
  </si>
  <si>
    <t>Ogres vēstures un mākslas muzejs</t>
  </si>
  <si>
    <t>Sudrabu Edžus memoriālā istaba</t>
  </si>
  <si>
    <t>08.2205</t>
  </si>
  <si>
    <t>A. Pumpura Lielvārdes muzejs</t>
  </si>
  <si>
    <t>08.2206</t>
  </si>
  <si>
    <t>08.2207</t>
  </si>
  <si>
    <t>Ķeguma novada muzejs</t>
  </si>
  <si>
    <t>Kultūras centri - tautas nami</t>
  </si>
  <si>
    <t>08.2302</t>
  </si>
  <si>
    <t>Finansējums  "Ogres novada kultūras centrs"</t>
  </si>
  <si>
    <t>Komunikāciju centrs Ķeipenē</t>
  </si>
  <si>
    <t>Ikšķiles tautas nams</t>
  </si>
  <si>
    <t>08.2305</t>
  </si>
  <si>
    <t>Tīnūžu tautas nams</t>
  </si>
  <si>
    <t>08.2306</t>
  </si>
  <si>
    <t>Lielvārdes kultūras centrs (tai skaitā Jumpravas un Lēdmanes)</t>
  </si>
  <si>
    <t>08.2307</t>
  </si>
  <si>
    <t>Ķeguma tautas nams</t>
  </si>
  <si>
    <t>08.2308</t>
  </si>
  <si>
    <t>Birzgales tautas nams</t>
  </si>
  <si>
    <t>08.2309</t>
  </si>
  <si>
    <t>Rembates tautas nams</t>
  </si>
  <si>
    <t>08.2310</t>
  </si>
  <si>
    <t>Tomes tautas nams</t>
  </si>
  <si>
    <t>Kultūras aktivitātes / pasākumi</t>
  </si>
  <si>
    <t>Pilsētas dekorēšana svētkiem</t>
  </si>
  <si>
    <t>Papildus aktivitātes  Ogres novada pašvaldības iestādēs (vasaras nometnes)</t>
  </si>
  <si>
    <t>Projektu konkurss RADI Ogres novadam (Kultūras, sporta un izglītības pasākumi, mācības, kursi)</t>
  </si>
  <si>
    <t>08.29027</t>
  </si>
  <si>
    <t>Ķeguma Dienas centrs</t>
  </si>
  <si>
    <t>08.29028</t>
  </si>
  <si>
    <t>Tomes  Dienas  centrs</t>
  </si>
  <si>
    <t>08.29029</t>
  </si>
  <si>
    <t xml:space="preserve">Ikškiles brīvdabas skatuves jumta projektēšana </t>
  </si>
  <si>
    <t>08.29031</t>
  </si>
  <si>
    <t>Ēkas ''Viļņi" pārbūve Ķeipenē</t>
  </si>
  <si>
    <t>08.29032</t>
  </si>
  <si>
    <t>Būvprojekta "Muzikālais teātris" izstrāde</t>
  </si>
  <si>
    <t>09.10012</t>
  </si>
  <si>
    <t>09.10013</t>
  </si>
  <si>
    <t>09.10014</t>
  </si>
  <si>
    <t xml:space="preserve">PII "Gaismiņa"   </t>
  </si>
  <si>
    <t>09.10015</t>
  </si>
  <si>
    <t xml:space="preserve">PII "Birztaliņa"   </t>
  </si>
  <si>
    <t>09.10016</t>
  </si>
  <si>
    <t xml:space="preserve"> VPII "Pūt vējiņi"   </t>
  </si>
  <si>
    <t>09.21102</t>
  </si>
  <si>
    <t xml:space="preserve">Ogresgala pamatskola </t>
  </si>
  <si>
    <t>09.21913</t>
  </si>
  <si>
    <t>09.21914</t>
  </si>
  <si>
    <t xml:space="preserve">Birzgales pamatskola   </t>
  </si>
  <si>
    <t>09.21915</t>
  </si>
  <si>
    <t xml:space="preserve">Lielvārdes pamatskola </t>
  </si>
  <si>
    <t>09.21916</t>
  </si>
  <si>
    <t xml:space="preserve">Lēdmanes pamatskola </t>
  </si>
  <si>
    <t>09.21917</t>
  </si>
  <si>
    <t>09.21918</t>
  </si>
  <si>
    <t>09.21919</t>
  </si>
  <si>
    <t>09.21920</t>
  </si>
  <si>
    <t>09.5108</t>
  </si>
  <si>
    <t>09.5109</t>
  </si>
  <si>
    <t>09.5110</t>
  </si>
  <si>
    <t>09.610</t>
  </si>
  <si>
    <t>Izglītojamo pārvadājumu pakalpojumi</t>
  </si>
  <si>
    <t>09.6101</t>
  </si>
  <si>
    <t>09.620</t>
  </si>
  <si>
    <t>Izglītojamo ēdināšanas pakalpojumi</t>
  </si>
  <si>
    <t>09.6201</t>
  </si>
  <si>
    <t>Ēdināšanas izmaksu kompensācijas PII</t>
  </si>
  <si>
    <t>09.6202</t>
  </si>
  <si>
    <t>Ēdināšana skolās, tai skatā (1.-4.kl.)</t>
  </si>
  <si>
    <t>09.630</t>
  </si>
  <si>
    <t>Izglītojamo izmitināšanas pakalpojumi</t>
  </si>
  <si>
    <t>Sadarbībā ar Rīgas tehnisko universitāti, BJU interešu izglītības nodarbības un ekskursijas</t>
  </si>
  <si>
    <t>09.82012</t>
  </si>
  <si>
    <t>ERASMUS+"A.L.C.H.M.I.A" PROJEKTS Nr.2020-1-FI01-KA227-SCH-092716 Lielvārdes Mūzikas un mākslas skola</t>
  </si>
  <si>
    <t>09.82015</t>
  </si>
  <si>
    <t>Erasmus programmas projekts Nr.2020-1-LV01-KA229-077484-1, Get into the Green Scene Jumpravas pamatsk.</t>
  </si>
  <si>
    <t>09.82016</t>
  </si>
  <si>
    <t>Erasmus programmas projekts Nr.2020-1-AT01-KA229-078145-3, Our Password 21st Century Skills, Jumpravas pamatsk.</t>
  </si>
  <si>
    <t>09.82017</t>
  </si>
  <si>
    <t>Erasmus programmas projekts Nr.2020-1-PL01-KA229-081470-4, Peaceful Schools with Anger-free Classes, Jumpravas pamatsk.</t>
  </si>
  <si>
    <t>09.82018</t>
  </si>
  <si>
    <t>Erasmus programmas projekts Nr.2020-1-FR01-KA229-080395-3, Healthy Mind, Body and Environment, Jumpravas pamatsk</t>
  </si>
  <si>
    <t>09.82019</t>
  </si>
  <si>
    <t>Erasmus programmas projekts Nr.2020-1-EE01-KA229-077961-4, See-Our Nature!, Jumpravas pamatsk.</t>
  </si>
  <si>
    <t>09.82020</t>
  </si>
  <si>
    <t>Erasmus+ 2020-2-LV02-KA347-003434 "The power of youth - Shaking the Present, Building the Future"</t>
  </si>
  <si>
    <t>09.82021</t>
  </si>
  <si>
    <t>Erasmus+ 2020-1-LV02-KA205-003145 "Cross-sectorial cooperation for reaching out to the youth"</t>
  </si>
  <si>
    <t>09.82022</t>
  </si>
  <si>
    <t>Jaunas VPII ēkas būvniecība pie Lielvārdes pamatskolas</t>
  </si>
  <si>
    <t>09.82024</t>
  </si>
  <si>
    <t>Ogres novada pašvaldības jaunatnes iniciatīvu projektu konkurss "Jauniešu iespējas"</t>
  </si>
  <si>
    <t>8.1.2.SAM "Uzlabot vispārējās izglītības iestāžu mācību vidi Ogres novadā"</t>
  </si>
  <si>
    <t>Erasmus programmas projekts Nr.2020-1-TR01-KA229-092959 4, Tīņi domātāji, (sākumskola)</t>
  </si>
  <si>
    <t>ERASMUS proj. Sociālā uzņēmējdarbība Eiropā, 1. vsk.</t>
  </si>
  <si>
    <t>10.70017</t>
  </si>
  <si>
    <t>ES projektā “Ģimenes asistentu pakalpojuma aprobācija”, projekta Nr. 9.2.1.1/15/I/001)</t>
  </si>
  <si>
    <t>10.920</t>
  </si>
  <si>
    <t>Pārējie citur neklasificētie sociālās aizsardzības pasākumi ( Ukrainas civiliedzīvotāju atbalstam)</t>
  </si>
  <si>
    <t>06.60017</t>
  </si>
  <si>
    <t xml:space="preserve">Edgara Kauliņa Lielvārdes vidusskola </t>
  </si>
  <si>
    <t xml:space="preserve"> Sporta pasākumu rīkošanai </t>
  </si>
  <si>
    <t xml:space="preserve">Komandas vai individuālu sacensību dalībnieku atbalstam </t>
  </si>
  <si>
    <t>Kaibalas skolas pārbūve par pirmsskolas izglītības iestādi</t>
  </si>
  <si>
    <t>09.82071</t>
  </si>
  <si>
    <t>08.29033</t>
  </si>
  <si>
    <t>Investīciju projekts "Būvdarbu veikšana objektam "Estrāde", Jumprava, Jumpravas pagasts, Ogres novads</t>
  </si>
  <si>
    <t>09.82073</t>
  </si>
  <si>
    <t>09.82074</t>
  </si>
  <si>
    <t>SIA "Zelta Liepa Debesu Bļodā" ieguldījums pamatkapitālā</t>
  </si>
  <si>
    <t>09.21921</t>
  </si>
  <si>
    <t>Ogres centra pamatskola</t>
  </si>
  <si>
    <t>05.2003</t>
  </si>
  <si>
    <t>Meliorācijas sistēmu pārbūve Ogres novada Ogresgala pagasta Ciemupes ciema Zvejnieku, Celmlaužu, Daugavas un Krasta ielas rajonā</t>
  </si>
  <si>
    <t>Ķeguma vidusskola</t>
  </si>
  <si>
    <t>Pašvaldības sociālā stipendija vispārējās vidējās izglītības iestāžu izglītojamajiem</t>
  </si>
  <si>
    <t>Pašvaldības stipendija studējošiem pedagogiem</t>
  </si>
  <si>
    <t>09.82075</t>
  </si>
  <si>
    <t>Erasmus programmas projekts Nr.2022-1-LV01-KA121-SCH-000059464, Mācību mobilitāte skolu sektorā, (ģimnāzija)</t>
  </si>
  <si>
    <t>10.921</t>
  </si>
  <si>
    <t>Mājsaimniecībām energoresursu izmaksu pieauguma daļēja kompensācija</t>
  </si>
  <si>
    <t>Pārējie sabiedriskās kārtības un drošības pakalpojumi (Video novērošanai)</t>
  </si>
  <si>
    <t>09.82072</t>
  </si>
  <si>
    <t>ERASMUS projekts mācību mobilitāte skolu sektorā (Madliena)</t>
  </si>
  <si>
    <t>Ukraiņu bērnu ēdināšana</t>
  </si>
  <si>
    <t>09.82078</t>
  </si>
  <si>
    <t>Projekts "Mobils un aktīvs"</t>
  </si>
  <si>
    <t>06.4002</t>
  </si>
  <si>
    <t>03.6001</t>
  </si>
  <si>
    <t>06.4001</t>
  </si>
  <si>
    <t>Ogres novada pašvaldības 2023.gada pamatbudžeta ieņēmumi.</t>
  </si>
  <si>
    <t xml:space="preserve">Ogres,Ikšķiles,Ķeguma, Lielvārdes un to pagastu 2023.g. budžets </t>
  </si>
  <si>
    <t>Pašvald. aģentūras "Ogres komunikācijas" 2023.g. budžets</t>
  </si>
  <si>
    <t xml:space="preserve">Ogres novada Kultūras centrs 2023.g. budžets   </t>
  </si>
  <si>
    <t>Pašvald. aģentūras "Rosme" 2023.g. budžets</t>
  </si>
  <si>
    <t>Suntažu pagasta pārvaldes 2023.g. budžets</t>
  </si>
  <si>
    <t>Lauberes pagasta pārvaldes 2023.g. budžets</t>
  </si>
  <si>
    <t>Ķeipenes pagasta pārvaldes 2023.g. budžets</t>
  </si>
  <si>
    <t>Madlienas pagasta pārvaldes 2023.g. budžets</t>
  </si>
  <si>
    <t>Krapes pagasta pārvaldes 2023.g. budžets</t>
  </si>
  <si>
    <t>Mazozolu pagasta pārvaldes 2023.g. budžets</t>
  </si>
  <si>
    <t>Meņģeles pagasta pārvaldes 2023.g. budžets</t>
  </si>
  <si>
    <t>Taurupes pagasta pārvaldes 2023.g. budžets</t>
  </si>
  <si>
    <t>Ogres novada pašvaldības 2023.g. budžets</t>
  </si>
  <si>
    <t>Budžeta  atl.uz  01. 01. 2023.g.        F22010010</t>
  </si>
  <si>
    <t>F55010000</t>
  </si>
  <si>
    <t>Ogres novada pašvaldības 2023. gada pamatbudžeta  izdevumi atbilstoši funkcionālajām kategorijām.</t>
  </si>
  <si>
    <t xml:space="preserve">Ceļu būvniecībai un remontiem Ķegums </t>
  </si>
  <si>
    <t>04.510017</t>
  </si>
  <si>
    <t>Ceļu būvniecībai un remontiem Ķegums (Rembate)</t>
  </si>
  <si>
    <t>04.510018</t>
  </si>
  <si>
    <t>Ceļu būvniecībai un remontiem Ķegums (Tome)</t>
  </si>
  <si>
    <t xml:space="preserve">Ceļa pārbūve “Dubkalna ezera meži” </t>
  </si>
  <si>
    <t>Lielvārdes pilsētas Rembates ielas, Stacijas ielas, Uzvaras ielas, Andreja Pumpura ielas un Meža ielas posmu būvniecībai</t>
  </si>
  <si>
    <t>Saules prospekta, Ogrē  būvniecība</t>
  </si>
  <si>
    <t>Strēlnieku prospekta (no Dārza ielas līdz Jāņa Čakstes prospektam), Ogrē būvniecība</t>
  </si>
  <si>
    <t>Tūrisma plānošanas un attīstības nodaļa</t>
  </si>
  <si>
    <t>Ielu apgaismošana - Ikšķile</t>
  </si>
  <si>
    <t>08.1003</t>
  </si>
  <si>
    <t>Klinšu kāpšanas sienas ekspluatācijai</t>
  </si>
  <si>
    <t>08.29004</t>
  </si>
  <si>
    <t>Dziesmu un deju svētki</t>
  </si>
  <si>
    <t>09.82023</t>
  </si>
  <si>
    <t xml:space="preserve"> PII Mālkalnes prosp.10 pārbūves projektēšana  </t>
  </si>
  <si>
    <t>09.82076</t>
  </si>
  <si>
    <t>Erasmus programmas projekts Nr.2022-1-LV01-KA121-SCH-000068386, Mācību mobilitāte skolu sektorā, (1.vsk.)</t>
  </si>
  <si>
    <t>09.82077</t>
  </si>
  <si>
    <t>NORDPLUS Junior "Teaching and Learning of Primary Students by Moving and Playing" Nr. NPJR-2022/10045, (Madliena)</t>
  </si>
  <si>
    <t>10.70018</t>
  </si>
  <si>
    <t>Ogres novada pašvaldības 2023. gada pamatbudžeta  izdevumi atbilstoši ekonomiskajām kategorijām.</t>
  </si>
  <si>
    <t xml:space="preserve">Ogres novada Kultūras centrs 2023.g. budžets    </t>
  </si>
  <si>
    <t>ES Projekts ''Sākotnējās profesionālās izglītības programmu īstenošana Jauniešu garantijas ietvaros" Nr.7.2.1.2/15/I/001</t>
  </si>
  <si>
    <t>10.70019</t>
  </si>
  <si>
    <t>09.82080</t>
  </si>
  <si>
    <t>Projekts "Neformālās izglītības pasākumi, t.sk. latviešu valodas apguve, Ukrainas bērniem un jauniešiem"</t>
  </si>
  <si>
    <t>Proj. "Ogres novada publisko ūdeņu zivju resursu aizsardzības pilnveide 3"</t>
  </si>
  <si>
    <t>05.4002</t>
  </si>
  <si>
    <t>09.82079</t>
  </si>
  <si>
    <t>Proj. Elektrotransporta un uzlādes stacijas iegāde ONP skolēnu mobilitātes veicināšanai"</t>
  </si>
  <si>
    <t>05.30018</t>
  </si>
  <si>
    <t>Pašvaldības publiskām ēkām būvniecības dokumentācijas izstrādei un energoefektivitātes pasākumu veikšanai</t>
  </si>
  <si>
    <t>09.82081</t>
  </si>
  <si>
    <t>Nordplus programmas projekts Nr.NPJR-2023/10066, Rural-Urban-Digital /Lauku-pilsētas digitāls, Jumpravas pamatsk.</t>
  </si>
  <si>
    <t>09.82082</t>
  </si>
  <si>
    <t>09.82083</t>
  </si>
  <si>
    <t>Nordplus programmas projekts Nr.NPJR-2023/10171, Throughr Fairytale to Forest /Caur pasaku uz mežu, Jumpravas pamatsk.</t>
  </si>
  <si>
    <t>09.82084</t>
  </si>
  <si>
    <t>Nordplus programmas projekts Nr.NPJR-2023/10094, Green Time-halty Life-Happy I /Laiks dabā-veselīga dzīve-priecīgs es, Jumpravas pamatsk.</t>
  </si>
  <si>
    <t>09.6204</t>
  </si>
  <si>
    <t>Erasmus programmas projekts Nr.2023-1-LV01-KA121-SCH 000147014 Personu mobilitāte mācību nolūkos.(1.VSK)</t>
  </si>
  <si>
    <t xml:space="preserve">Ogres ģimnāzija un jaunā ēka </t>
  </si>
  <si>
    <t>Erasmus + programmas projekts Nr.2023-1-LV01-KA121-SCH-000123334 Ģimnāzijas</t>
  </si>
  <si>
    <t>09.82085</t>
  </si>
  <si>
    <t>09.82086</t>
  </si>
  <si>
    <t>Erasmus + programmas projekts Nr.2023-1-LV01-KA121-SCH-000146268 Ogres centra pamakskola , Iekļaušana un iekļaušanās.</t>
  </si>
  <si>
    <t>09.82088</t>
  </si>
  <si>
    <t>Ogres novada skolu pašpārvalžu stiprināšana, VP2023/3-15</t>
  </si>
  <si>
    <t>04.510019</t>
  </si>
  <si>
    <t>Ceļu būvniecībai un remontiem Suntaži</t>
  </si>
  <si>
    <t>04.510020</t>
  </si>
  <si>
    <t>Ceļu būvniecībai un remontiem Laubere</t>
  </si>
  <si>
    <t>04.510021</t>
  </si>
  <si>
    <t>Ceļu būvniecībai un remontiem Ķeipene</t>
  </si>
  <si>
    <t>04.510022</t>
  </si>
  <si>
    <t>Ceļu būvniecībai un remontiem Madliena</t>
  </si>
  <si>
    <t>04.510023</t>
  </si>
  <si>
    <t>Ceļu būvniecībai un remontiem Krape</t>
  </si>
  <si>
    <t>04.510024</t>
  </si>
  <si>
    <t>Ceļu būvniecībai un remontiem Mazozoli</t>
  </si>
  <si>
    <t>04.510025</t>
  </si>
  <si>
    <t>Ceļu būvniecībai un remontiem Meņģele</t>
  </si>
  <si>
    <t>04.510026</t>
  </si>
  <si>
    <t>Ceļu būvniecībai un remontiem Taurupe</t>
  </si>
  <si>
    <t>05.20021</t>
  </si>
  <si>
    <t>Notekūdeņu (savākšana un attīrīšana) - Laubere</t>
  </si>
  <si>
    <t>05.20022</t>
  </si>
  <si>
    <t>Notekūdeņu (savākšana un attīrīšana) - Ķeipene</t>
  </si>
  <si>
    <t>05.20023</t>
  </si>
  <si>
    <t>Notekūdeņu (savākšana un attīrīšana) - Madliena</t>
  </si>
  <si>
    <t>05.20024</t>
  </si>
  <si>
    <t>Notekūdeņu (savākšana un attīrīšana) - Krape</t>
  </si>
  <si>
    <t>05.20025</t>
  </si>
  <si>
    <t>Notekūdeņu (savākšana un attīrīšana) - Mazozoli</t>
  </si>
  <si>
    <t>05.20026</t>
  </si>
  <si>
    <t>Notekūdeņu (savākšana un attīrīšana) - Meņģele</t>
  </si>
  <si>
    <t>05.20027</t>
  </si>
  <si>
    <t>Notekūdeņu (savākšana un attīrīšana) - Taurupe</t>
  </si>
  <si>
    <t>06.30011</t>
  </si>
  <si>
    <t>Vispārējie ūdens apgādes izdevumi - Laubere</t>
  </si>
  <si>
    <t>06.30012</t>
  </si>
  <si>
    <t>Vispārējie ūdens apgādes izdevumi - Ķeipene</t>
  </si>
  <si>
    <t>06.30013</t>
  </si>
  <si>
    <t>Vispārējie ūdens apgādes izdevumi - Madliena</t>
  </si>
  <si>
    <t>06.30014</t>
  </si>
  <si>
    <t>Vispārējie ūdens apgādes izdevumi - Krape</t>
  </si>
  <si>
    <t>06.30015</t>
  </si>
  <si>
    <t>Vispārējie ūdens apgādes izdevumi - Mazozoli</t>
  </si>
  <si>
    <t>06.30016</t>
  </si>
  <si>
    <t>Vispārējie ūdens apgādes izdevumi - Meņģele</t>
  </si>
  <si>
    <t>06.30017</t>
  </si>
  <si>
    <t>Vispārējie ūdens apgādes izdevumi - Taurupe</t>
  </si>
  <si>
    <t>06.600130</t>
  </si>
  <si>
    <t>06.600131</t>
  </si>
  <si>
    <t>06.600132</t>
  </si>
  <si>
    <t>06.600133</t>
  </si>
  <si>
    <t>06.600134</t>
  </si>
  <si>
    <t>06.600135</t>
  </si>
  <si>
    <t>06.600136</t>
  </si>
  <si>
    <t>06.600137</t>
  </si>
  <si>
    <t>07.2102</t>
  </si>
  <si>
    <t>Ģimenes ārstu prakse Mazozolos</t>
  </si>
  <si>
    <t>08.2110</t>
  </si>
  <si>
    <t>Suntažu bibliotēka</t>
  </si>
  <si>
    <t>08.2111</t>
  </si>
  <si>
    <t>Lauberes bibliotēka</t>
  </si>
  <si>
    <t>08.2112</t>
  </si>
  <si>
    <t>Ķeipenes bibiotēka</t>
  </si>
  <si>
    <t>08.2113</t>
  </si>
  <si>
    <t>Madlienas bibliotēka</t>
  </si>
  <si>
    <t>08.2114</t>
  </si>
  <si>
    <t>Krapes bibliotēka</t>
  </si>
  <si>
    <t>08.2115</t>
  </si>
  <si>
    <t>Mazozolu bibliotēka</t>
  </si>
  <si>
    <t>08.2116</t>
  </si>
  <si>
    <t>Meņģeles bibliotēka</t>
  </si>
  <si>
    <t>08.2117</t>
  </si>
  <si>
    <t>Taurupes bibliotēka</t>
  </si>
  <si>
    <t>08.2311</t>
  </si>
  <si>
    <t>Suntažu kultūras nams</t>
  </si>
  <si>
    <t>08.2312</t>
  </si>
  <si>
    <t>Lauberes kultūras nams</t>
  </si>
  <si>
    <t>08.2313</t>
  </si>
  <si>
    <t>Ķeipenes kultūras nams</t>
  </si>
  <si>
    <t>08.2314</t>
  </si>
  <si>
    <t>Madlienas kultūras nams</t>
  </si>
  <si>
    <t>08.2315</t>
  </si>
  <si>
    <t>Krapes kultūras nams</t>
  </si>
  <si>
    <t>08.2316</t>
  </si>
  <si>
    <t>Mazozolu kūtūras nams</t>
  </si>
  <si>
    <t>08.2317</t>
  </si>
  <si>
    <t>Meņģeles kultūras nams</t>
  </si>
  <si>
    <t>08.2318</t>
  </si>
  <si>
    <t>Taurupes kultūras nams</t>
  </si>
  <si>
    <t>09.82087</t>
  </si>
  <si>
    <t>10.70020</t>
  </si>
  <si>
    <t>K.Kažociņa Madlienas mūzikas un mākslas skola</t>
  </si>
  <si>
    <t>Interreg Igaunijas - Latvijas projekts Building Social Trust and inclusion:A Cross-Border Approach to empower individuals with Special Needs Nr.EE-LV00086 ( lai sniegtu iespējas personām ar īpašām vajadzībām)</t>
  </si>
  <si>
    <t>Erasmus + programmas projekts Nr. 2023-1-LV01-KA121-SCH-000123099, Mācību mobilitātes skolu sektorā Madliena</t>
  </si>
  <si>
    <t>06.60045</t>
  </si>
  <si>
    <t>Investīciju proj. "Muzikālais teātris Rīgas ielā 15, Ogrē, Ogres novadā. 1. kārta "Neatkarības laukuma un tā pieguļošās teritorijas Ogrē pārbūve""</t>
  </si>
  <si>
    <t xml:space="preserve">VTP Madliena 2023. g. budžets </t>
  </si>
  <si>
    <t>Ģimenes ārstu prakse</t>
  </si>
  <si>
    <t>09.5111</t>
  </si>
  <si>
    <t>Izdevniecība (Novada informatīvie izdevumi)</t>
  </si>
  <si>
    <t>21.12.2023. Saistošajiem noteikumiem Nr.28/2023</t>
  </si>
</sst>
</file>

<file path=xl/styles.xml><?xml version="1.0" encoding="utf-8"?>
<styleSheet xmlns="http://schemas.openxmlformats.org/spreadsheetml/2006/main">
  <numFmts count="4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Ls&quot;\ #,##0;\-&quot;Ls&quot;\ #,##0"/>
    <numFmt numFmtId="171" formatCode="&quot;Ls&quot;\ #,##0;[Red]\-&quot;Ls&quot;\ #,##0"/>
    <numFmt numFmtId="172" formatCode="&quot;Ls&quot;\ #,##0.00;\-&quot;Ls&quot;\ #,##0.00"/>
    <numFmt numFmtId="173" formatCode="&quot;Ls&quot;\ #,##0.00;[Red]\-&quot;Ls&quot;\ #,##0.00"/>
    <numFmt numFmtId="174" formatCode="_-&quot;Ls&quot;\ * #,##0_-;\-&quot;Ls&quot;\ * #,##0_-;_-&quot;Ls&quot;\ * &quot;-&quot;_-;_-@_-"/>
    <numFmt numFmtId="175" formatCode="_-&quot;Ls&quot;\ * #,##0.00_-;\-&quot;Ls&quot;\ * #,##0.00_-;_-&quot;Ls&quot;\ * &quot;-&quot;??_-;_-@_-"/>
    <numFmt numFmtId="176" formatCode="_-* #,##0\ _€_-;\-* #,##0\ _€_-;_-* &quot;-&quot;\ _€_-;_-@_-"/>
    <numFmt numFmtId="177" formatCode="_-* #,##0.00\ _€_-;\-* #,##0.00\ _€_-;_-* &quot;-&quot;??\ _€_-;_-@_-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&quot;€&quot;* #,##0.00_-;\-&quot;€&quot;* #,##0.00_-;_-&quot;€&quot;* &quot;-&quot;??_-;_-@_-"/>
    <numFmt numFmtId="184" formatCode="#,##0\ &quot;Ls&quot;;[Red]\-#,##0\ &quot;Ls&quot;"/>
    <numFmt numFmtId="185" formatCode="_-* #,##0\ &quot;Ls&quot;_-;\-* #,##0\ &quot;Ls&quot;_-;_-* &quot;-&quot;\ &quot;Ls&quot;_-;_-@_-"/>
    <numFmt numFmtId="186" formatCode="_-* #,##0\ _L_s_-;\-* #,##0\ _L_s_-;_-* &quot;-&quot;\ _L_s_-;_-@_-"/>
    <numFmt numFmtId="187" formatCode="_-* #,##0.00\ &quot;Ls&quot;_-;\-* #,##0.00\ &quot;Ls&quot;_-;_-* &quot;-&quot;??\ &quot;Ls&quot;_-;_-@_-"/>
    <numFmt numFmtId="188" formatCode="_-* #,##0.00\ _L_s_-;\-* #,##0.00\ _L_s_-;_-* &quot;-&quot;??\ _L_s_-;_-@_-"/>
    <numFmt numFmtId="189" formatCode="0.0"/>
    <numFmt numFmtId="190" formatCode="0.000"/>
    <numFmt numFmtId="191" formatCode="0.0%"/>
    <numFmt numFmtId="192" formatCode="#,##0.0"/>
    <numFmt numFmtId="193" formatCode="#,##0.000"/>
    <numFmt numFmtId="194" formatCode="#,##0_);\(#,##0\)"/>
    <numFmt numFmtId="195" formatCode="#,##0_ ;[Red]\-#,##0\ "/>
    <numFmt numFmtId="196" formatCode="&quot;Jā&quot;;&quot;Jā&quot;;&quot;Nē&quot;"/>
    <numFmt numFmtId="197" formatCode="&quot;Patiess&quot;;&quot;Patiess&quot;;&quot;Aplams&quot;"/>
    <numFmt numFmtId="198" formatCode="&quot;Ieslēgts&quot;;&quot;Ieslēgts&quot;;&quot;Izslēgts&quot;"/>
    <numFmt numFmtId="199" formatCode="[$€-2]\ #\ ##,000_);[Red]\([$€-2]\ #\ ##,000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40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1"/>
      <color indexed="10"/>
      <name val="Times New Roman"/>
      <family val="1"/>
    </font>
    <font>
      <sz val="16"/>
      <name val="Times New Roman"/>
      <family val="1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30"/>
      <name val="Times New Roman"/>
      <family val="1"/>
    </font>
    <font>
      <sz val="11"/>
      <color indexed="30"/>
      <name val="Times New Roman"/>
      <family val="1"/>
    </font>
    <font>
      <sz val="11"/>
      <color theme="1"/>
      <name val="Calibri"/>
      <family val="2"/>
    </font>
    <font>
      <sz val="11"/>
      <color rgb="FFFF0000"/>
      <name val="Times New Roman"/>
      <family val="1"/>
    </font>
    <font>
      <b/>
      <sz val="11"/>
      <color rgb="FF0070C0"/>
      <name val="Times New Roman"/>
      <family val="1"/>
    </font>
    <font>
      <sz val="11"/>
      <color rgb="FF0070C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7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9" fillId="20" borderId="1" applyNumberFormat="0" applyAlignment="0" applyProtection="0"/>
    <xf numFmtId="0" fontId="23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9" borderId="1" applyNumberFormat="0" applyAlignment="0" applyProtection="0"/>
    <xf numFmtId="0" fontId="3" fillId="0" borderId="0" applyNumberFormat="0" applyFill="0" applyBorder="0" applyAlignment="0" applyProtection="0"/>
    <xf numFmtId="0" fontId="20" fillId="20" borderId="2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12" fillId="6" borderId="0" applyNumberFormat="0" applyBorder="0" applyAlignment="0" applyProtection="0"/>
    <xf numFmtId="0" fontId="18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0" fillId="22" borderId="4" applyNumberFormat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7" fillId="0" borderId="6" applyNumberFormat="0" applyFill="0" applyAlignment="0" applyProtection="0"/>
    <xf numFmtId="0" fontId="8" fillId="5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289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left"/>
    </xf>
    <xf numFmtId="0" fontId="4" fillId="0" borderId="11" xfId="53" applyFont="1" applyBorder="1" applyAlignment="1">
      <alignment horizontal="left" wrapText="1"/>
      <protection/>
    </xf>
    <xf numFmtId="0" fontId="4" fillId="0" borderId="12" xfId="53" applyFont="1" applyBorder="1" applyAlignment="1">
      <alignment horizontal="left" wrapText="1"/>
      <protection/>
    </xf>
    <xf numFmtId="3" fontId="4" fillId="0" borderId="10" xfId="0" applyNumberFormat="1" applyFont="1" applyBorder="1" applyAlignment="1">
      <alignment horizontal="left" wrapText="1"/>
    </xf>
    <xf numFmtId="3" fontId="4" fillId="24" borderId="10" xfId="0" applyNumberFormat="1" applyFont="1" applyFill="1" applyBorder="1" applyAlignment="1">
      <alignment/>
    </xf>
    <xf numFmtId="0" fontId="4" fillId="0" borderId="10" xfId="59" applyFont="1" applyBorder="1" applyAlignment="1">
      <alignment wrapText="1"/>
      <protection/>
    </xf>
    <xf numFmtId="49" fontId="5" fillId="0" borderId="13" xfId="59" applyNumberFormat="1" applyFont="1" applyBorder="1" applyAlignment="1">
      <alignment horizontal="right"/>
      <protection/>
    </xf>
    <xf numFmtId="49" fontId="4" fillId="0" borderId="13" xfId="59" applyNumberFormat="1" applyFont="1" applyBorder="1" applyAlignment="1">
      <alignment horizontal="right"/>
      <protection/>
    </xf>
    <xf numFmtId="49" fontId="4" fillId="0" borderId="14" xfId="59" applyNumberFormat="1" applyFont="1" applyBorder="1" applyAlignment="1">
      <alignment horizontal="right"/>
      <protection/>
    </xf>
    <xf numFmtId="0" fontId="24" fillId="0" borderId="10" xfId="53" applyFont="1" applyBorder="1" applyAlignment="1">
      <alignment horizontal="left" wrapText="1"/>
      <protection/>
    </xf>
    <xf numFmtId="0" fontId="24" fillId="0" borderId="15" xfId="53" applyFont="1" applyBorder="1" applyAlignment="1">
      <alignment horizontal="left" wrapText="1"/>
      <protection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left"/>
    </xf>
    <xf numFmtId="3" fontId="4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wrapText="1"/>
    </xf>
    <xf numFmtId="3" fontId="4" fillId="0" borderId="1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16" xfId="56" applyFont="1" applyFill="1" applyBorder="1" applyAlignment="1">
      <alignment vertical="center" wrapText="1"/>
      <protection/>
    </xf>
    <xf numFmtId="3" fontId="4" fillId="0" borderId="10" xfId="0" applyNumberFormat="1" applyFont="1" applyFill="1" applyBorder="1" applyAlignment="1">
      <alignment wrapText="1"/>
    </xf>
    <xf numFmtId="3" fontId="4" fillId="0" borderId="17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/>
    </xf>
    <xf numFmtId="0" fontId="4" fillId="0" borderId="10" xfId="53" applyFont="1" applyFill="1" applyBorder="1" applyAlignment="1">
      <alignment horizontal="left" wrapText="1"/>
      <protection/>
    </xf>
    <xf numFmtId="0" fontId="4" fillId="0" borderId="15" xfId="53" applyFont="1" applyFill="1" applyBorder="1" applyAlignment="1">
      <alignment horizontal="left" wrapText="1"/>
      <protection/>
    </xf>
    <xf numFmtId="3" fontId="4" fillId="0" borderId="0" xfId="0" applyNumberFormat="1" applyFont="1" applyFill="1" applyAlignment="1">
      <alignment horizontal="center" wrapText="1"/>
    </xf>
    <xf numFmtId="3" fontId="4" fillId="0" borderId="0" xfId="0" applyNumberFormat="1" applyFont="1" applyFill="1" applyAlignment="1">
      <alignment/>
    </xf>
    <xf numFmtId="3" fontId="5" fillId="0" borderId="19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horizontal="left" wrapText="1"/>
    </xf>
    <xf numFmtId="0" fontId="4" fillId="0" borderId="20" xfId="0" applyFont="1" applyFill="1" applyBorder="1" applyAlignment="1">
      <alignment/>
    </xf>
    <xf numFmtId="0" fontId="24" fillId="0" borderId="21" xfId="0" applyFont="1" applyFill="1" applyBorder="1" applyAlignment="1">
      <alignment horizontal="center" vertical="center"/>
    </xf>
    <xf numFmtId="0" fontId="24" fillId="0" borderId="16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3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52" applyFont="1" applyFill="1" applyBorder="1" applyAlignment="1" applyProtection="1">
      <alignment horizontal="center" vertical="center" wrapText="1"/>
      <protection/>
    </xf>
    <xf numFmtId="3" fontId="5" fillId="0" borderId="21" xfId="0" applyNumberFormat="1" applyFont="1" applyFill="1" applyBorder="1" applyAlignment="1">
      <alignment horizontal="right"/>
    </xf>
    <xf numFmtId="3" fontId="5" fillId="0" borderId="16" xfId="0" applyNumberFormat="1" applyFont="1" applyFill="1" applyBorder="1" applyAlignment="1">
      <alignment wrapText="1"/>
    </xf>
    <xf numFmtId="3" fontId="5" fillId="0" borderId="16" xfId="0" applyNumberFormat="1" applyFont="1" applyFill="1" applyBorder="1" applyAlignment="1">
      <alignment/>
    </xf>
    <xf numFmtId="3" fontId="5" fillId="0" borderId="23" xfId="0" applyNumberFormat="1" applyFont="1" applyFill="1" applyBorder="1" applyAlignment="1">
      <alignment/>
    </xf>
    <xf numFmtId="3" fontId="5" fillId="0" borderId="22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 horizontal="left"/>
    </xf>
    <xf numFmtId="3" fontId="4" fillId="0" borderId="12" xfId="0" applyNumberFormat="1" applyFont="1" applyFill="1" applyBorder="1" applyAlignment="1">
      <alignment wrapText="1"/>
    </xf>
    <xf numFmtId="3" fontId="4" fillId="0" borderId="12" xfId="0" applyNumberFormat="1" applyFont="1" applyFill="1" applyBorder="1" applyAlignment="1">
      <alignment/>
    </xf>
    <xf numFmtId="3" fontId="5" fillId="0" borderId="24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 horizontal="right"/>
    </xf>
    <xf numFmtId="3" fontId="4" fillId="0" borderId="20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 horizontal="left"/>
    </xf>
    <xf numFmtId="3" fontId="4" fillId="0" borderId="25" xfId="0" applyNumberFormat="1" applyFont="1" applyFill="1" applyBorder="1" applyAlignment="1">
      <alignment/>
    </xf>
    <xf numFmtId="3" fontId="4" fillId="24" borderId="25" xfId="0" applyNumberFormat="1" applyFont="1" applyFill="1" applyBorder="1" applyAlignment="1">
      <alignment/>
    </xf>
    <xf numFmtId="3" fontId="4" fillId="0" borderId="26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4" fillId="0" borderId="27" xfId="0" applyNumberFormat="1" applyFont="1" applyFill="1" applyBorder="1" applyAlignment="1">
      <alignment/>
    </xf>
    <xf numFmtId="0" fontId="4" fillId="0" borderId="28" xfId="0" applyFont="1" applyFill="1" applyBorder="1" applyAlignment="1">
      <alignment horizontal="left"/>
    </xf>
    <xf numFmtId="0" fontId="4" fillId="0" borderId="29" xfId="0" applyFont="1" applyFill="1" applyBorder="1" applyAlignment="1">
      <alignment wrapText="1"/>
    </xf>
    <xf numFmtId="3" fontId="4" fillId="0" borderId="30" xfId="0" applyNumberFormat="1" applyFont="1" applyFill="1" applyBorder="1" applyAlignment="1">
      <alignment/>
    </xf>
    <xf numFmtId="3" fontId="4" fillId="24" borderId="30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3" fontId="1" fillId="0" borderId="29" xfId="0" applyNumberFormat="1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3" fontId="4" fillId="0" borderId="28" xfId="0" applyNumberFormat="1" applyFont="1" applyFill="1" applyBorder="1" applyAlignment="1">
      <alignment horizontal="left"/>
    </xf>
    <xf numFmtId="3" fontId="4" fillId="0" borderId="29" xfId="0" applyNumberFormat="1" applyFont="1" applyFill="1" applyBorder="1" applyAlignment="1">
      <alignment wrapText="1"/>
    </xf>
    <xf numFmtId="3" fontId="4" fillId="24" borderId="29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5" fillId="0" borderId="32" xfId="0" applyNumberFormat="1" applyFont="1" applyFill="1" applyBorder="1" applyAlignment="1">
      <alignment/>
    </xf>
    <xf numFmtId="0" fontId="4" fillId="0" borderId="14" xfId="0" applyFont="1" applyBorder="1" applyAlignment="1">
      <alignment horizontal="left"/>
    </xf>
    <xf numFmtId="0" fontId="5" fillId="0" borderId="18" xfId="0" applyFont="1" applyBorder="1" applyAlignment="1">
      <alignment wrapText="1"/>
    </xf>
    <xf numFmtId="3" fontId="5" fillId="0" borderId="24" xfId="0" applyNumberFormat="1" applyFont="1" applyBorder="1" applyAlignment="1">
      <alignment/>
    </xf>
    <xf numFmtId="3" fontId="4" fillId="0" borderId="33" xfId="0" applyNumberFormat="1" applyFont="1" applyFill="1" applyBorder="1" applyAlignment="1">
      <alignment/>
    </xf>
    <xf numFmtId="3" fontId="5" fillId="0" borderId="34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wrapText="1"/>
    </xf>
    <xf numFmtId="3" fontId="4" fillId="0" borderId="15" xfId="0" applyNumberFormat="1" applyFont="1" applyFill="1" applyBorder="1" applyAlignment="1">
      <alignment/>
    </xf>
    <xf numFmtId="3" fontId="4" fillId="0" borderId="35" xfId="0" applyNumberFormat="1" applyFont="1" applyFill="1" applyBorder="1" applyAlignment="1">
      <alignment/>
    </xf>
    <xf numFmtId="3" fontId="5" fillId="0" borderId="21" xfId="0" applyNumberFormat="1" applyFont="1" applyFill="1" applyBorder="1" applyAlignment="1">
      <alignment horizontal="left"/>
    </xf>
    <xf numFmtId="3" fontId="4" fillId="0" borderId="36" xfId="0" applyNumberFormat="1" applyFont="1" applyFill="1" applyBorder="1" applyAlignment="1">
      <alignment horizontal="left"/>
    </xf>
    <xf numFmtId="3" fontId="4" fillId="0" borderId="18" xfId="0" applyNumberFormat="1" applyFont="1" applyFill="1" applyBorder="1" applyAlignment="1">
      <alignment wrapText="1"/>
    </xf>
    <xf numFmtId="3" fontId="4" fillId="0" borderId="37" xfId="0" applyNumberFormat="1" applyFont="1" applyFill="1" applyBorder="1" applyAlignment="1">
      <alignment/>
    </xf>
    <xf numFmtId="3" fontId="4" fillId="25" borderId="38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 horizontal="left"/>
    </xf>
    <xf numFmtId="3" fontId="5" fillId="0" borderId="12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 wrapText="1"/>
    </xf>
    <xf numFmtId="3" fontId="5" fillId="0" borderId="26" xfId="0" applyNumberFormat="1" applyFont="1" applyFill="1" applyBorder="1" applyAlignment="1">
      <alignment/>
    </xf>
    <xf numFmtId="3" fontId="5" fillId="0" borderId="25" xfId="0" applyNumberFormat="1" applyFont="1" applyFill="1" applyBorder="1" applyAlignment="1">
      <alignment/>
    </xf>
    <xf numFmtId="3" fontId="5" fillId="0" borderId="20" xfId="0" applyNumberFormat="1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3" fontId="1" fillId="0" borderId="25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4" fillId="0" borderId="40" xfId="0" applyNumberFormat="1" applyFont="1" applyFill="1" applyBorder="1" applyAlignment="1">
      <alignment/>
    </xf>
    <xf numFmtId="3" fontId="4" fillId="0" borderId="21" xfId="0" applyNumberFormat="1" applyFont="1" applyFill="1" applyBorder="1" applyAlignment="1">
      <alignment horizontal="right"/>
    </xf>
    <xf numFmtId="3" fontId="5" fillId="0" borderId="16" xfId="0" applyNumberFormat="1" applyFont="1" applyFill="1" applyBorder="1" applyAlignment="1">
      <alignment horizontal="right" wrapText="1"/>
    </xf>
    <xf numFmtId="3" fontId="5" fillId="0" borderId="16" xfId="0" applyNumberFormat="1" applyFont="1" applyFill="1" applyBorder="1" applyAlignment="1">
      <alignment horizontal="center"/>
    </xf>
    <xf numFmtId="3" fontId="5" fillId="0" borderId="23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 applyProtection="1">
      <alignment/>
      <protection/>
    </xf>
    <xf numFmtId="3" fontId="4" fillId="0" borderId="12" xfId="0" applyNumberFormat="1" applyFont="1" applyFill="1" applyBorder="1" applyAlignment="1" applyProtection="1">
      <alignment horizontal="left" wrapText="1"/>
      <protection/>
    </xf>
    <xf numFmtId="3" fontId="5" fillId="0" borderId="10" xfId="0" applyNumberFormat="1" applyFont="1" applyFill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left" wrapText="1"/>
      <protection/>
    </xf>
    <xf numFmtId="3" fontId="5" fillId="0" borderId="10" xfId="0" applyNumberFormat="1" applyFont="1" applyFill="1" applyBorder="1" applyAlignment="1" applyProtection="1">
      <alignment horizontal="center"/>
      <protection/>
    </xf>
    <xf numFmtId="3" fontId="5" fillId="0" borderId="20" xfId="0" applyNumberFormat="1" applyFont="1" applyFill="1" applyBorder="1" applyAlignment="1" applyProtection="1">
      <alignment/>
      <protection/>
    </xf>
    <xf numFmtId="3" fontId="4" fillId="0" borderId="10" xfId="0" applyNumberFormat="1" applyFont="1" applyFill="1" applyBorder="1" applyAlignment="1" applyProtection="1">
      <alignment/>
      <protection/>
    </xf>
    <xf numFmtId="3" fontId="4" fillId="0" borderId="10" xfId="0" applyNumberFormat="1" applyFont="1" applyFill="1" applyBorder="1" applyAlignment="1" applyProtection="1">
      <alignment horizontal="left" wrapText="1"/>
      <protection/>
    </xf>
    <xf numFmtId="3" fontId="4" fillId="0" borderId="10" xfId="0" applyNumberFormat="1" applyFont="1" applyFill="1" applyBorder="1" applyAlignment="1" applyProtection="1">
      <alignment horizontal="center"/>
      <protection/>
    </xf>
    <xf numFmtId="3" fontId="4" fillId="24" borderId="10" xfId="0" applyNumberFormat="1" applyFont="1" applyFill="1" applyBorder="1" applyAlignment="1" applyProtection="1">
      <alignment horizontal="center"/>
      <protection/>
    </xf>
    <xf numFmtId="3" fontId="5" fillId="0" borderId="10" xfId="0" applyNumberFormat="1" applyFont="1" applyFill="1" applyBorder="1" applyAlignment="1" applyProtection="1">
      <alignment horizontal="right"/>
      <protection/>
    </xf>
    <xf numFmtId="3" fontId="24" fillId="0" borderId="21" xfId="0" applyNumberFormat="1" applyFont="1" applyFill="1" applyBorder="1" applyAlignment="1">
      <alignment horizontal="center" vertical="center"/>
    </xf>
    <xf numFmtId="3" fontId="24" fillId="0" borderId="16" xfId="0" applyNumberFormat="1" applyFont="1" applyFill="1" applyBorder="1" applyAlignment="1" applyProtection="1">
      <alignment horizontal="center" vertical="center" wrapText="1"/>
      <protection/>
    </xf>
    <xf numFmtId="3" fontId="4" fillId="0" borderId="41" xfId="55" applyNumberFormat="1" applyFont="1" applyFill="1" applyBorder="1" applyAlignment="1">
      <alignment horizontal="center" vertical="center" wrapText="1"/>
      <protection/>
    </xf>
    <xf numFmtId="3" fontId="4" fillId="0" borderId="16" xfId="56" applyNumberFormat="1" applyFont="1" applyFill="1" applyBorder="1" applyAlignment="1">
      <alignment vertical="center" wrapText="1"/>
      <protection/>
    </xf>
    <xf numFmtId="3" fontId="4" fillId="0" borderId="23" xfId="56" applyNumberFormat="1" applyFont="1" applyFill="1" applyBorder="1" applyAlignment="1">
      <alignment vertical="center" wrapText="1"/>
      <protection/>
    </xf>
    <xf numFmtId="3" fontId="5" fillId="0" borderId="22" xfId="52" applyNumberFormat="1" applyFont="1" applyFill="1" applyBorder="1" applyAlignment="1" applyProtection="1">
      <alignment horizontal="center" vertical="center" wrapText="1"/>
      <protection/>
    </xf>
    <xf numFmtId="3" fontId="5" fillId="0" borderId="21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 wrapText="1"/>
    </xf>
    <xf numFmtId="3" fontId="5" fillId="0" borderId="17" xfId="0" applyNumberFormat="1" applyFont="1" applyFill="1" applyBorder="1" applyAlignment="1">
      <alignment/>
    </xf>
    <xf numFmtId="3" fontId="5" fillId="0" borderId="42" xfId="0" applyNumberFormat="1" applyFont="1" applyFill="1" applyBorder="1" applyAlignment="1">
      <alignment/>
    </xf>
    <xf numFmtId="3" fontId="5" fillId="0" borderId="33" xfId="0" applyNumberFormat="1" applyFont="1" applyFill="1" applyBorder="1" applyAlignment="1">
      <alignment/>
    </xf>
    <xf numFmtId="3" fontId="5" fillId="0" borderId="43" xfId="0" applyNumberFormat="1" applyFont="1" applyFill="1" applyBorder="1" applyAlignment="1">
      <alignment/>
    </xf>
    <xf numFmtId="49" fontId="5" fillId="0" borderId="14" xfId="0" applyNumberFormat="1" applyFont="1" applyFill="1" applyBorder="1" applyAlignment="1">
      <alignment horizontal="right"/>
    </xf>
    <xf numFmtId="3" fontId="5" fillId="0" borderId="13" xfId="0" applyNumberFormat="1" applyFont="1" applyFill="1" applyBorder="1" applyAlignment="1">
      <alignment horizontal="right"/>
    </xf>
    <xf numFmtId="3" fontId="5" fillId="0" borderId="44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horizontal="left" wrapText="1"/>
    </xf>
    <xf numFmtId="3" fontId="4" fillId="0" borderId="13" xfId="0" applyNumberFormat="1" applyFont="1" applyFill="1" applyBorder="1" applyAlignment="1">
      <alignment horizontal="right" wrapText="1"/>
    </xf>
    <xf numFmtId="3" fontId="4" fillId="24" borderId="20" xfId="0" applyNumberFormat="1" applyFont="1" applyFill="1" applyBorder="1" applyAlignment="1">
      <alignment/>
    </xf>
    <xf numFmtId="3" fontId="5" fillId="0" borderId="28" xfId="0" applyNumberFormat="1" applyFont="1" applyFill="1" applyBorder="1" applyAlignment="1">
      <alignment horizontal="right"/>
    </xf>
    <xf numFmtId="3" fontId="5" fillId="0" borderId="29" xfId="0" applyNumberFormat="1" applyFont="1" applyFill="1" applyBorder="1" applyAlignment="1">
      <alignment wrapText="1"/>
    </xf>
    <xf numFmtId="3" fontId="5" fillId="0" borderId="11" xfId="0" applyNumberFormat="1" applyFont="1" applyFill="1" applyBorder="1" applyAlignment="1">
      <alignment/>
    </xf>
    <xf numFmtId="3" fontId="5" fillId="24" borderId="11" xfId="0" applyNumberFormat="1" applyFont="1" applyFill="1" applyBorder="1" applyAlignment="1">
      <alignment/>
    </xf>
    <xf numFmtId="3" fontId="5" fillId="0" borderId="29" xfId="0" applyNumberFormat="1" applyFont="1" applyFill="1" applyBorder="1" applyAlignment="1">
      <alignment/>
    </xf>
    <xf numFmtId="3" fontId="5" fillId="0" borderId="38" xfId="0" applyNumberFormat="1" applyFont="1" applyFill="1" applyBorder="1" applyAlignment="1">
      <alignment/>
    </xf>
    <xf numFmtId="3" fontId="5" fillId="0" borderId="45" xfId="0" applyNumberFormat="1" applyFont="1" applyFill="1" applyBorder="1" applyAlignment="1">
      <alignment/>
    </xf>
    <xf numFmtId="3" fontId="4" fillId="24" borderId="17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 wrapText="1"/>
    </xf>
    <xf numFmtId="3" fontId="4" fillId="0" borderId="29" xfId="53" applyNumberFormat="1" applyFont="1" applyFill="1" applyBorder="1" applyAlignment="1">
      <alignment horizontal="left" wrapText="1"/>
      <protection/>
    </xf>
    <xf numFmtId="3" fontId="5" fillId="0" borderId="15" xfId="59" applyNumberFormat="1" applyFont="1" applyBorder="1" applyAlignment="1">
      <alignment wrapText="1"/>
      <protection/>
    </xf>
    <xf numFmtId="3" fontId="5" fillId="0" borderId="35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left"/>
    </xf>
    <xf numFmtId="3" fontId="4" fillId="0" borderId="10" xfId="53" applyNumberFormat="1" applyFont="1" applyFill="1" applyBorder="1" applyAlignment="1">
      <alignment horizontal="left" wrapText="1"/>
      <protection/>
    </xf>
    <xf numFmtId="49" fontId="4" fillId="0" borderId="13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left" wrapText="1"/>
    </xf>
    <xf numFmtId="3" fontId="5" fillId="0" borderId="12" xfId="0" applyNumberFormat="1" applyFont="1" applyFill="1" applyBorder="1" applyAlignment="1">
      <alignment horizontal="left" wrapText="1"/>
    </xf>
    <xf numFmtId="3" fontId="5" fillId="0" borderId="16" xfId="0" applyNumberFormat="1" applyFont="1" applyFill="1" applyBorder="1" applyAlignment="1">
      <alignment horizontal="left" wrapText="1"/>
    </xf>
    <xf numFmtId="3" fontId="5" fillId="0" borderId="46" xfId="0" applyNumberFormat="1" applyFont="1" applyFill="1" applyBorder="1" applyAlignment="1">
      <alignment/>
    </xf>
    <xf numFmtId="3" fontId="4" fillId="0" borderId="28" xfId="0" applyNumberFormat="1" applyFont="1" applyFill="1" applyBorder="1" applyAlignment="1">
      <alignment horizontal="right"/>
    </xf>
    <xf numFmtId="3" fontId="4" fillId="0" borderId="12" xfId="53" applyNumberFormat="1" applyFont="1" applyFill="1" applyBorder="1" applyAlignment="1">
      <alignment horizontal="left" wrapText="1"/>
      <protection/>
    </xf>
    <xf numFmtId="3" fontId="4" fillId="0" borderId="34" xfId="0" applyNumberFormat="1" applyFont="1" applyFill="1" applyBorder="1" applyAlignment="1">
      <alignment horizontal="right"/>
    </xf>
    <xf numFmtId="3" fontId="4" fillId="0" borderId="25" xfId="0" applyNumberFormat="1" applyFont="1" applyFill="1" applyBorder="1" applyAlignment="1">
      <alignment horizontal="left" wrapText="1"/>
    </xf>
    <xf numFmtId="3" fontId="4" fillId="24" borderId="10" xfId="59" applyNumberFormat="1" applyFont="1" applyFill="1" applyBorder="1" applyAlignment="1">
      <alignment horizontal="left" wrapText="1"/>
      <protection/>
    </xf>
    <xf numFmtId="3" fontId="4" fillId="0" borderId="29" xfId="0" applyNumberFormat="1" applyFont="1" applyBorder="1" applyAlignment="1">
      <alignment horizontal="left" wrapText="1"/>
    </xf>
    <xf numFmtId="3" fontId="5" fillId="0" borderId="29" xfId="0" applyNumberFormat="1" applyFont="1" applyBorder="1" applyAlignment="1">
      <alignment horizontal="left" wrapText="1"/>
    </xf>
    <xf numFmtId="3" fontId="5" fillId="24" borderId="20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3" fontId="5" fillId="0" borderId="47" xfId="0" applyNumberFormat="1" applyFont="1" applyFill="1" applyBorder="1" applyAlignment="1">
      <alignment horizontal="left"/>
    </xf>
    <xf numFmtId="3" fontId="5" fillId="0" borderId="48" xfId="0" applyNumberFormat="1" applyFont="1" applyFill="1" applyBorder="1" applyAlignment="1">
      <alignment horizontal="right"/>
    </xf>
    <xf numFmtId="3" fontId="5" fillId="0" borderId="49" xfId="0" applyNumberFormat="1" applyFont="1" applyFill="1" applyBorder="1" applyAlignment="1">
      <alignment wrapText="1"/>
    </xf>
    <xf numFmtId="3" fontId="5" fillId="0" borderId="50" xfId="0" applyNumberFormat="1" applyFont="1" applyFill="1" applyBorder="1" applyAlignment="1">
      <alignment/>
    </xf>
    <xf numFmtId="3" fontId="4" fillId="0" borderId="14" xfId="59" applyNumberFormat="1" applyFont="1" applyBorder="1" applyAlignment="1">
      <alignment horizontal="right"/>
      <protection/>
    </xf>
    <xf numFmtId="3" fontId="4" fillId="0" borderId="10" xfId="53" applyNumberFormat="1" applyFont="1" applyBorder="1" applyAlignment="1">
      <alignment horizontal="left" wrapText="1"/>
      <protection/>
    </xf>
    <xf numFmtId="3" fontId="24" fillId="0" borderId="10" xfId="53" applyNumberFormat="1" applyFont="1" applyBorder="1" applyAlignment="1">
      <alignment horizontal="left" wrapText="1"/>
      <protection/>
    </xf>
    <xf numFmtId="3" fontId="4" fillId="0" borderId="10" xfId="0" applyNumberFormat="1" applyFont="1" applyFill="1" applyBorder="1" applyAlignment="1">
      <alignment horizontal="left" wrapText="1"/>
    </xf>
    <xf numFmtId="3" fontId="4" fillId="0" borderId="10" xfId="54" applyNumberFormat="1" applyFont="1" applyFill="1" applyBorder="1" applyAlignment="1">
      <alignment horizontal="left" wrapText="1"/>
      <protection/>
    </xf>
    <xf numFmtId="3" fontId="5" fillId="0" borderId="19" xfId="0" applyNumberFormat="1" applyFont="1" applyFill="1" applyBorder="1" applyAlignment="1">
      <alignment/>
    </xf>
    <xf numFmtId="3" fontId="5" fillId="0" borderId="51" xfId="0" applyNumberFormat="1" applyFont="1" applyFill="1" applyBorder="1" applyAlignment="1">
      <alignment/>
    </xf>
    <xf numFmtId="3" fontId="4" fillId="0" borderId="21" xfId="0" applyNumberFormat="1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left" wrapText="1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>
      <alignment wrapText="1"/>
    </xf>
    <xf numFmtId="3" fontId="4" fillId="0" borderId="0" xfId="52" applyNumberFormat="1" applyFont="1" applyFill="1" applyBorder="1" applyAlignment="1">
      <alignment horizontal="left" wrapText="1"/>
      <protection/>
    </xf>
    <xf numFmtId="3" fontId="27" fillId="0" borderId="0" xfId="0" applyNumberFormat="1" applyFont="1" applyFill="1" applyBorder="1" applyAlignment="1">
      <alignment horizontal="right" wrapText="1"/>
    </xf>
    <xf numFmtId="3" fontId="29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 wrapText="1"/>
    </xf>
    <xf numFmtId="3" fontId="29" fillId="0" borderId="0" xfId="0" applyNumberFormat="1" applyFont="1" applyFill="1" applyAlignment="1">
      <alignment/>
    </xf>
    <xf numFmtId="0" fontId="4" fillId="0" borderId="0" xfId="57" applyFont="1" applyFill="1" applyAlignment="1">
      <alignment horizontal="left"/>
      <protection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 applyProtection="1">
      <alignment horizontal="left" wrapText="1"/>
      <protection/>
    </xf>
    <xf numFmtId="3" fontId="4" fillId="0" borderId="0" xfId="57" applyNumberFormat="1" applyFont="1" applyFill="1" applyAlignment="1">
      <alignment horizontal="left"/>
      <protection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3" fontId="5" fillId="0" borderId="36" xfId="0" applyNumberFormat="1" applyFont="1" applyFill="1" applyBorder="1" applyAlignment="1">
      <alignment horizontal="left"/>
    </xf>
    <xf numFmtId="3" fontId="4" fillId="0" borderId="38" xfId="0" applyNumberFormat="1" applyFont="1" applyFill="1" applyBorder="1" applyAlignment="1">
      <alignment wrapText="1"/>
    </xf>
    <xf numFmtId="3" fontId="5" fillId="0" borderId="23" xfId="0" applyNumberFormat="1" applyFont="1" applyFill="1" applyBorder="1" applyAlignment="1">
      <alignment horizontal="right"/>
    </xf>
    <xf numFmtId="3" fontId="5" fillId="0" borderId="47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 wrapText="1"/>
    </xf>
    <xf numFmtId="0" fontId="4" fillId="0" borderId="10" xfId="53" applyFont="1" applyBorder="1" applyAlignment="1">
      <alignment horizontal="left" wrapText="1"/>
      <protection/>
    </xf>
    <xf numFmtId="0" fontId="4" fillId="0" borderId="10" xfId="0" applyFont="1" applyFill="1" applyBorder="1" applyAlignment="1">
      <alignment/>
    </xf>
    <xf numFmtId="0" fontId="30" fillId="0" borderId="10" xfId="59" applyFont="1" applyBorder="1" applyAlignment="1">
      <alignment horizontal="left" wrapText="1"/>
      <protection/>
    </xf>
    <xf numFmtId="0" fontId="4" fillId="0" borderId="23" xfId="56" applyFont="1" applyFill="1" applyBorder="1" applyAlignment="1">
      <alignment vertical="center" wrapText="1"/>
      <protection/>
    </xf>
    <xf numFmtId="49" fontId="4" fillId="0" borderId="10" xfId="0" applyNumberFormat="1" applyFont="1" applyFill="1" applyBorder="1" applyAlignment="1">
      <alignment horizontal="right" wrapText="1"/>
    </xf>
    <xf numFmtId="3" fontId="1" fillId="0" borderId="20" xfId="0" applyNumberFormat="1" applyFont="1" applyFill="1" applyBorder="1" applyAlignment="1">
      <alignment/>
    </xf>
    <xf numFmtId="0" fontId="4" fillId="0" borderId="10" xfId="54" applyFont="1" applyFill="1" applyBorder="1" applyAlignment="1">
      <alignment horizontal="left" wrapText="1"/>
      <protection/>
    </xf>
    <xf numFmtId="1" fontId="4" fillId="0" borderId="25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35" fillId="0" borderId="10" xfId="0" applyNumberFormat="1" applyFont="1" applyFill="1" applyBorder="1" applyAlignment="1">
      <alignment/>
    </xf>
    <xf numFmtId="0" fontId="4" fillId="0" borderId="29" xfId="53" applyFont="1" applyFill="1" applyBorder="1" applyAlignment="1">
      <alignment horizontal="left" wrapText="1"/>
      <protection/>
    </xf>
    <xf numFmtId="0" fontId="31" fillId="0" borderId="10" xfId="59" applyFont="1" applyBorder="1" applyAlignment="1">
      <alignment horizontal="left" wrapText="1"/>
      <protection/>
    </xf>
    <xf numFmtId="3" fontId="4" fillId="0" borderId="38" xfId="0" applyNumberFormat="1" applyFont="1" applyFill="1" applyBorder="1" applyAlignment="1">
      <alignment/>
    </xf>
    <xf numFmtId="49" fontId="5" fillId="0" borderId="28" xfId="59" applyNumberFormat="1" applyFont="1" applyBorder="1" applyAlignment="1">
      <alignment horizontal="right"/>
      <protection/>
    </xf>
    <xf numFmtId="0" fontId="5" fillId="0" borderId="12" xfId="53" applyFont="1" applyBorder="1" applyAlignment="1">
      <alignment horizontal="left" wrapText="1"/>
      <protection/>
    </xf>
    <xf numFmtId="3" fontId="5" fillId="0" borderId="13" xfId="59" applyNumberFormat="1" applyFont="1" applyBorder="1" applyAlignment="1">
      <alignment horizontal="right"/>
      <protection/>
    </xf>
    <xf numFmtId="3" fontId="5" fillId="0" borderId="10" xfId="59" applyNumberFormat="1" applyFont="1" applyBorder="1" applyAlignment="1">
      <alignment wrapText="1"/>
      <protection/>
    </xf>
    <xf numFmtId="3" fontId="5" fillId="0" borderId="52" xfId="0" applyNumberFormat="1" applyFont="1" applyFill="1" applyBorder="1" applyAlignment="1">
      <alignment/>
    </xf>
    <xf numFmtId="3" fontId="4" fillId="0" borderId="53" xfId="0" applyNumberFormat="1" applyFont="1" applyFill="1" applyBorder="1" applyAlignment="1">
      <alignment/>
    </xf>
    <xf numFmtId="3" fontId="4" fillId="0" borderId="54" xfId="0" applyNumberFormat="1" applyFont="1" applyFill="1" applyBorder="1" applyAlignment="1">
      <alignment/>
    </xf>
    <xf numFmtId="3" fontId="4" fillId="0" borderId="52" xfId="0" applyNumberFormat="1" applyFont="1" applyFill="1" applyBorder="1" applyAlignment="1">
      <alignment/>
    </xf>
    <xf numFmtId="3" fontId="4" fillId="0" borderId="55" xfId="0" applyNumberFormat="1" applyFont="1" applyFill="1" applyBorder="1" applyAlignment="1">
      <alignment/>
    </xf>
    <xf numFmtId="3" fontId="5" fillId="0" borderId="52" xfId="0" applyNumberFormat="1" applyFont="1" applyBorder="1" applyAlignment="1">
      <alignment/>
    </xf>
    <xf numFmtId="3" fontId="4" fillId="0" borderId="15" xfId="59" applyNumberFormat="1" applyFont="1" applyBorder="1" applyAlignment="1">
      <alignment wrapText="1"/>
      <protection/>
    </xf>
    <xf numFmtId="3" fontId="4" fillId="0" borderId="10" xfId="59" applyNumberFormat="1" applyFont="1" applyBorder="1" applyAlignment="1">
      <alignment wrapText="1"/>
      <protection/>
    </xf>
    <xf numFmtId="3" fontId="5" fillId="0" borderId="39" xfId="0" applyNumberFormat="1" applyFont="1" applyFill="1" applyBorder="1" applyAlignment="1">
      <alignment/>
    </xf>
    <xf numFmtId="0" fontId="4" fillId="0" borderId="56" xfId="56" applyFont="1" applyFill="1" applyBorder="1" applyAlignment="1">
      <alignment vertical="center" wrapText="1"/>
      <protection/>
    </xf>
    <xf numFmtId="49" fontId="4" fillId="0" borderId="13" xfId="59" applyNumberFormat="1" applyFont="1" applyFill="1" applyBorder="1" applyAlignment="1">
      <alignment horizontal="right"/>
      <protection/>
    </xf>
    <xf numFmtId="3" fontId="4" fillId="0" borderId="26" xfId="0" applyNumberFormat="1" applyFont="1" applyFill="1" applyBorder="1" applyAlignment="1">
      <alignment wrapText="1"/>
    </xf>
    <xf numFmtId="49" fontId="5" fillId="0" borderId="13" xfId="59" applyNumberFormat="1" applyFont="1" applyFill="1" applyBorder="1" applyAlignment="1">
      <alignment horizontal="right"/>
      <protection/>
    </xf>
    <xf numFmtId="3" fontId="4" fillId="24" borderId="10" xfId="0" applyNumberFormat="1" applyFont="1" applyFill="1" applyBorder="1" applyAlignment="1">
      <alignment horizontal="right"/>
    </xf>
    <xf numFmtId="49" fontId="5" fillId="0" borderId="13" xfId="0" applyNumberFormat="1" applyFont="1" applyFill="1" applyBorder="1" applyAlignment="1">
      <alignment horizontal="right"/>
    </xf>
    <xf numFmtId="3" fontId="5" fillId="0" borderId="38" xfId="0" applyNumberFormat="1" applyFont="1" applyFill="1" applyBorder="1" applyAlignment="1">
      <alignment wrapText="1"/>
    </xf>
    <xf numFmtId="3" fontId="25" fillId="0" borderId="18" xfId="0" applyNumberFormat="1" applyFont="1" applyBorder="1" applyAlignment="1">
      <alignment wrapText="1"/>
    </xf>
    <xf numFmtId="3" fontId="36" fillId="0" borderId="17" xfId="0" applyNumberFormat="1" applyFont="1" applyFill="1" applyBorder="1" applyAlignment="1">
      <alignment/>
    </xf>
    <xf numFmtId="3" fontId="5" fillId="0" borderId="20" xfId="0" applyNumberFormat="1" applyFont="1" applyFill="1" applyBorder="1" applyAlignment="1">
      <alignment horizontal="right"/>
    </xf>
    <xf numFmtId="3" fontId="5" fillId="0" borderId="34" xfId="59" applyNumberFormat="1" applyFont="1" applyBorder="1" applyAlignment="1">
      <alignment horizontal="right"/>
      <protection/>
    </xf>
    <xf numFmtId="3" fontId="5" fillId="0" borderId="16" xfId="0" applyNumberFormat="1" applyFont="1" applyFill="1" applyBorder="1" applyAlignment="1">
      <alignment horizontal="right"/>
    </xf>
    <xf numFmtId="3" fontId="5" fillId="0" borderId="56" xfId="0" applyNumberFormat="1" applyFont="1" applyFill="1" applyBorder="1" applyAlignment="1">
      <alignment horizontal="right"/>
    </xf>
    <xf numFmtId="3" fontId="5" fillId="0" borderId="17" xfId="0" applyNumberFormat="1" applyFont="1" applyFill="1" applyBorder="1" applyAlignment="1">
      <alignment horizontal="right"/>
    </xf>
    <xf numFmtId="3" fontId="4" fillId="0" borderId="17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left"/>
    </xf>
    <xf numFmtId="3" fontId="37" fillId="0" borderId="17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left" wrapText="1"/>
    </xf>
    <xf numFmtId="3" fontId="37" fillId="0" borderId="20" xfId="0" applyNumberFormat="1" applyFont="1" applyFill="1" applyBorder="1" applyAlignment="1">
      <alignment/>
    </xf>
    <xf numFmtId="3" fontId="4" fillId="24" borderId="20" xfId="0" applyNumberFormat="1" applyFont="1" applyFill="1" applyBorder="1" applyAlignment="1">
      <alignment horizontal="right"/>
    </xf>
    <xf numFmtId="3" fontId="4" fillId="0" borderId="20" xfId="0" applyNumberFormat="1" applyFont="1" applyFill="1" applyBorder="1" applyAlignment="1">
      <alignment horizontal="right"/>
    </xf>
    <xf numFmtId="3" fontId="4" fillId="24" borderId="17" xfId="0" applyNumberFormat="1" applyFont="1" applyFill="1" applyBorder="1" applyAlignment="1">
      <alignment horizontal="right"/>
    </xf>
    <xf numFmtId="3" fontId="36" fillId="0" borderId="17" xfId="0" applyNumberFormat="1" applyFont="1" applyFill="1" applyBorder="1" applyAlignment="1">
      <alignment horizontal="right"/>
    </xf>
    <xf numFmtId="3" fontId="5" fillId="24" borderId="20" xfId="0" applyNumberFormat="1" applyFont="1" applyFill="1" applyBorder="1" applyAlignment="1">
      <alignment horizontal="right"/>
    </xf>
    <xf numFmtId="49" fontId="4" fillId="0" borderId="13" xfId="0" applyNumberFormat="1" applyFont="1" applyBorder="1" applyAlignment="1">
      <alignment horizontal="right"/>
    </xf>
    <xf numFmtId="0" fontId="31" fillId="0" borderId="10" xfId="59" applyFont="1" applyFill="1" applyBorder="1" applyAlignment="1">
      <alignment horizontal="left" wrapText="1"/>
      <protection/>
    </xf>
    <xf numFmtId="49" fontId="4" fillId="0" borderId="13" xfId="0" applyNumberFormat="1" applyFont="1" applyFill="1" applyBorder="1" applyAlignment="1">
      <alignment horizontal="left"/>
    </xf>
    <xf numFmtId="3" fontId="4" fillId="0" borderId="31" xfId="0" applyNumberFormat="1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left"/>
    </xf>
    <xf numFmtId="3" fontId="4" fillId="0" borderId="20" xfId="53" applyNumberFormat="1" applyFont="1" applyFill="1" applyBorder="1" applyAlignment="1">
      <alignment horizontal="left" wrapText="1"/>
      <protection/>
    </xf>
    <xf numFmtId="3" fontId="4" fillId="0" borderId="13" xfId="59" applyNumberFormat="1" applyFont="1" applyBorder="1" applyAlignment="1">
      <alignment horizontal="right"/>
      <protection/>
    </xf>
    <xf numFmtId="0" fontId="4" fillId="0" borderId="57" xfId="56" applyFont="1" applyFill="1" applyBorder="1" applyAlignment="1">
      <alignment vertical="center" wrapText="1"/>
      <protection/>
    </xf>
    <xf numFmtId="0" fontId="28" fillId="0" borderId="0" xfId="0" applyFont="1" applyFill="1" applyAlignment="1">
      <alignment/>
    </xf>
    <xf numFmtId="3" fontId="1" fillId="0" borderId="18" xfId="0" applyNumberFormat="1" applyFont="1" applyFill="1" applyBorder="1" applyAlignment="1">
      <alignment/>
    </xf>
    <xf numFmtId="0" fontId="4" fillId="0" borderId="41" xfId="55" applyFont="1" applyFill="1" applyBorder="1" applyAlignment="1">
      <alignment horizontal="center" vertical="center" wrapText="1"/>
      <protection/>
    </xf>
    <xf numFmtId="3" fontId="5" fillId="0" borderId="20" xfId="0" applyNumberFormat="1" applyFont="1" applyBorder="1" applyAlignment="1">
      <alignment wrapText="1"/>
    </xf>
    <xf numFmtId="41" fontId="4" fillId="0" borderId="19" xfId="0" applyNumberFormat="1" applyFont="1" applyFill="1" applyBorder="1" applyAlignment="1">
      <alignment/>
    </xf>
    <xf numFmtId="41" fontId="4" fillId="0" borderId="20" xfId="0" applyNumberFormat="1" applyFont="1" applyFill="1" applyBorder="1" applyAlignment="1">
      <alignment/>
    </xf>
    <xf numFmtId="3" fontId="4" fillId="24" borderId="12" xfId="0" applyNumberFormat="1" applyFont="1" applyFill="1" applyBorder="1" applyAlignment="1">
      <alignment/>
    </xf>
    <xf numFmtId="3" fontId="4" fillId="0" borderId="12" xfId="0" applyNumberFormat="1" applyFont="1" applyFill="1" applyBorder="1" applyAlignment="1" applyProtection="1">
      <alignment horizontal="center" wrapText="1"/>
      <protection/>
    </xf>
    <xf numFmtId="3" fontId="5" fillId="0" borderId="0" xfId="0" applyNumberFormat="1" applyFont="1" applyFill="1" applyBorder="1" applyAlignment="1" applyProtection="1">
      <alignment horizontal="right"/>
      <protection/>
    </xf>
    <xf numFmtId="4" fontId="4" fillId="0" borderId="12" xfId="0" applyNumberFormat="1" applyFont="1" applyFill="1" applyBorder="1" applyAlignment="1">
      <alignment/>
    </xf>
    <xf numFmtId="3" fontId="4" fillId="0" borderId="20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49" fontId="4" fillId="0" borderId="20" xfId="0" applyNumberFormat="1" applyFont="1" applyFill="1" applyBorder="1" applyAlignment="1">
      <alignment horizontal="right"/>
    </xf>
    <xf numFmtId="3" fontId="35" fillId="0" borderId="10" xfId="0" applyNumberFormat="1" applyFont="1" applyFill="1" applyBorder="1" applyAlignment="1">
      <alignment horizontal="right"/>
    </xf>
    <xf numFmtId="3" fontId="38" fillId="24" borderId="10" xfId="0" applyNumberFormat="1" applyFont="1" applyFill="1" applyBorder="1" applyAlignment="1">
      <alignment/>
    </xf>
    <xf numFmtId="4" fontId="4" fillId="0" borderId="20" xfId="0" applyNumberFormat="1" applyFont="1" applyFill="1" applyBorder="1" applyAlignment="1">
      <alignment/>
    </xf>
    <xf numFmtId="49" fontId="4" fillId="0" borderId="10" xfId="59" applyNumberFormat="1" applyFont="1" applyFill="1" applyBorder="1" applyAlignment="1">
      <alignment horizontal="right"/>
      <protection/>
    </xf>
    <xf numFmtId="3" fontId="4" fillId="0" borderId="15" xfId="0" applyNumberFormat="1" applyFont="1" applyFill="1" applyBorder="1" applyAlignment="1">
      <alignment horizontal="left" wrapText="1"/>
    </xf>
    <xf numFmtId="3" fontId="4" fillId="0" borderId="35" xfId="0" applyNumberFormat="1" applyFont="1" applyFill="1" applyBorder="1" applyAlignment="1">
      <alignment horizontal="right"/>
    </xf>
    <xf numFmtId="49" fontId="4" fillId="0" borderId="28" xfId="59" applyNumberFormat="1" applyFont="1" applyFill="1" applyBorder="1" applyAlignment="1">
      <alignment horizontal="right"/>
      <protection/>
    </xf>
    <xf numFmtId="49" fontId="4" fillId="0" borderId="29" xfId="59" applyNumberFormat="1" applyFont="1" applyFill="1" applyBorder="1" applyAlignment="1">
      <alignment horizontal="right"/>
      <protection/>
    </xf>
    <xf numFmtId="1" fontId="4" fillId="0" borderId="20" xfId="0" applyNumberFormat="1" applyFont="1" applyFill="1" applyBorder="1" applyAlignment="1">
      <alignment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41" xfId="56" applyFont="1" applyFill="1" applyBorder="1" applyAlignment="1">
      <alignment vertical="center" wrapText="1"/>
      <protection/>
    </xf>
    <xf numFmtId="0" fontId="4" fillId="0" borderId="16" xfId="0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right" wrapText="1"/>
    </xf>
    <xf numFmtId="49" fontId="39" fillId="0" borderId="10" xfId="0" applyNumberFormat="1" applyFont="1" applyFill="1" applyBorder="1" applyAlignment="1">
      <alignment horizontal="left"/>
    </xf>
    <xf numFmtId="49" fontId="4" fillId="0" borderId="28" xfId="0" applyNumberFormat="1" applyFont="1" applyFill="1" applyBorder="1" applyAlignment="1">
      <alignment horizontal="right"/>
    </xf>
    <xf numFmtId="3" fontId="4" fillId="0" borderId="48" xfId="0" applyNumberFormat="1" applyFont="1" applyFill="1" applyBorder="1" applyAlignment="1">
      <alignment/>
    </xf>
    <xf numFmtId="3" fontId="5" fillId="0" borderId="49" xfId="0" applyNumberFormat="1" applyFont="1" applyFill="1" applyBorder="1" applyAlignment="1">
      <alignment/>
    </xf>
    <xf numFmtId="3" fontId="28" fillId="0" borderId="58" xfId="0" applyNumberFormat="1" applyFont="1" applyFill="1" applyBorder="1" applyAlignment="1">
      <alignment horizontal="center" wrapText="1"/>
    </xf>
  </cellXfs>
  <cellStyles count="60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Comma 2" xfId="41"/>
    <cellStyle name="Hyperlink" xfId="42"/>
    <cellStyle name="Ievade" xfId="43"/>
    <cellStyle name="Followed Hyperlink" xfId="44"/>
    <cellStyle name="Izvade" xfId="45"/>
    <cellStyle name="Comma" xfId="46"/>
    <cellStyle name="Comma [0]" xfId="47"/>
    <cellStyle name="Kopsumma" xfId="48"/>
    <cellStyle name="Labs" xfId="49"/>
    <cellStyle name="Neitrāls" xfId="50"/>
    <cellStyle name="Normal 2" xfId="51"/>
    <cellStyle name="Normal_2009.g plāns apst 3" xfId="52"/>
    <cellStyle name="Normal_PROJEKTI_2016_PLĀNS_Aija un Inese" xfId="53"/>
    <cellStyle name="Normal_PROJEKTI_2016_PLĀNS_Aija un Inese 2" xfId="54"/>
    <cellStyle name="Normal_Sheet1" xfId="55"/>
    <cellStyle name="Normal_Sheet1_Pielikumi oktobra korekcijam 2" xfId="56"/>
    <cellStyle name="Normal_Specbudz.kopsavilkums 2006.g un korekc. 2" xfId="57"/>
    <cellStyle name="Nosaukums" xfId="58"/>
    <cellStyle name="Parasts 2" xfId="59"/>
    <cellStyle name="Parasts 2 2" xfId="60"/>
    <cellStyle name="Parasts 2_2016.g. Ieņēmumu un izdevumu plāns" xfId="61"/>
    <cellStyle name="Paskaidrojošs teksts" xfId="62"/>
    <cellStyle name="Pārbaudes šūna" xfId="63"/>
    <cellStyle name="Piezīme" xfId="64"/>
    <cellStyle name="Percent" xfId="65"/>
    <cellStyle name="Saistīta šūna" xfId="66"/>
    <cellStyle name="Slikts" xfId="67"/>
    <cellStyle name="Currency" xfId="68"/>
    <cellStyle name="Currency [0]" xfId="69"/>
    <cellStyle name="Virsraksts 1" xfId="70"/>
    <cellStyle name="Virsraksts 2" xfId="71"/>
    <cellStyle name="Virsraksts 3" xfId="72"/>
    <cellStyle name="Virsraksts 4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tabSelected="1" zoomScale="106" zoomScaleNormal="106" zoomScalePageLayoutView="0" workbookViewId="0" topLeftCell="A1">
      <pane xSplit="2" ySplit="7" topLeftCell="C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Q5" sqref="Q5"/>
    </sheetView>
  </sheetViews>
  <sheetFormatPr defaultColWidth="9.140625" defaultRowHeight="12.75" outlineLevelRow="1"/>
  <cols>
    <col min="1" max="1" width="9.421875" style="23" customWidth="1"/>
    <col min="2" max="2" width="41.00390625" style="181" customWidth="1"/>
    <col min="3" max="3" width="13.421875" style="23" customWidth="1"/>
    <col min="4" max="5" width="10.8515625" style="23" customWidth="1"/>
    <col min="6" max="6" width="9.140625" style="23" customWidth="1"/>
    <col min="7" max="7" width="9.57421875" style="23" bestFit="1" customWidth="1"/>
    <col min="8" max="8" width="10.8515625" style="23" customWidth="1"/>
    <col min="9" max="9" width="9.00390625" style="23" customWidth="1"/>
    <col min="10" max="10" width="10.140625" style="23" customWidth="1"/>
    <col min="11" max="11" width="10.7109375" style="23" customWidth="1"/>
    <col min="12" max="12" width="8.8515625" style="23" customWidth="1"/>
    <col min="13" max="13" width="9.7109375" style="23" customWidth="1"/>
    <col min="14" max="14" width="9.28125" style="23" customWidth="1"/>
    <col min="15" max="16" width="10.140625" style="23" customWidth="1"/>
    <col min="17" max="17" width="13.00390625" style="184" customWidth="1"/>
    <col min="18" max="16384" width="9.140625" style="23" customWidth="1"/>
  </cols>
  <sheetData>
    <row r="1" spans="4:16" ht="15" outlineLevel="1">
      <c r="D1" s="183" t="s">
        <v>399</v>
      </c>
      <c r="E1" s="183"/>
      <c r="F1" s="183"/>
      <c r="G1" s="183"/>
      <c r="P1" s="22" t="s">
        <v>10</v>
      </c>
    </row>
    <row r="2" spans="1:16" ht="15" outlineLevel="1">
      <c r="A2" s="185"/>
      <c r="D2" s="185"/>
      <c r="E2" s="185"/>
      <c r="F2" s="185"/>
      <c r="G2" s="185"/>
      <c r="P2" s="22" t="s">
        <v>327</v>
      </c>
    </row>
    <row r="3" spans="1:16" ht="15" outlineLevel="1">
      <c r="A3" s="185"/>
      <c r="D3" s="185"/>
      <c r="E3" s="185"/>
      <c r="F3" s="185"/>
      <c r="G3" s="185"/>
      <c r="P3" s="22" t="s">
        <v>790</v>
      </c>
    </row>
    <row r="4" ht="15" outlineLevel="1"/>
    <row r="5" spans="1:3" ht="20.25" outlineLevel="1">
      <c r="A5" s="258" t="s">
        <v>626</v>
      </c>
      <c r="B5" s="258"/>
      <c r="C5" s="258"/>
    </row>
    <row r="6" spans="1:15" ht="15.75" thickBot="1">
      <c r="A6" s="185"/>
      <c r="B6" s="186"/>
      <c r="C6" s="185"/>
      <c r="N6" s="187"/>
      <c r="O6" s="187"/>
    </row>
    <row r="7" spans="1:17" ht="135.75" thickBot="1">
      <c r="A7" s="38" t="s">
        <v>9</v>
      </c>
      <c r="B7" s="39" t="s">
        <v>113</v>
      </c>
      <c r="C7" s="41" t="s">
        <v>627</v>
      </c>
      <c r="D7" s="260" t="s">
        <v>628</v>
      </c>
      <c r="E7" s="40" t="s">
        <v>629</v>
      </c>
      <c r="F7" s="280" t="s">
        <v>630</v>
      </c>
      <c r="G7" s="282" t="s">
        <v>786</v>
      </c>
      <c r="H7" s="281" t="s">
        <v>631</v>
      </c>
      <c r="I7" s="24" t="s">
        <v>632</v>
      </c>
      <c r="J7" s="24" t="s">
        <v>633</v>
      </c>
      <c r="K7" s="24" t="s">
        <v>634</v>
      </c>
      <c r="L7" s="24" t="s">
        <v>635</v>
      </c>
      <c r="M7" s="24" t="s">
        <v>636</v>
      </c>
      <c r="N7" s="24" t="s">
        <v>637</v>
      </c>
      <c r="O7" s="202" t="s">
        <v>638</v>
      </c>
      <c r="P7" s="226" t="s">
        <v>389</v>
      </c>
      <c r="Q7" s="42" t="s">
        <v>639</v>
      </c>
    </row>
    <row r="8" spans="1:17" ht="15.75" thickBot="1">
      <c r="A8" s="43"/>
      <c r="B8" s="44" t="s">
        <v>21</v>
      </c>
      <c r="C8" s="45">
        <f aca="true" t="shared" si="0" ref="C8:P8">C9+C10+C15+C16</f>
        <v>58898419</v>
      </c>
      <c r="D8" s="45">
        <f t="shared" si="0"/>
        <v>0</v>
      </c>
      <c r="E8" s="45">
        <f t="shared" si="0"/>
        <v>0</v>
      </c>
      <c r="F8" s="45">
        <f t="shared" si="0"/>
        <v>0</v>
      </c>
      <c r="G8" s="45">
        <f t="shared" si="0"/>
        <v>0</v>
      </c>
      <c r="H8" s="45">
        <f t="shared" si="0"/>
        <v>111124</v>
      </c>
      <c r="I8" s="45">
        <f t="shared" si="0"/>
        <v>49020</v>
      </c>
      <c r="J8" s="45">
        <f t="shared" si="0"/>
        <v>56671</v>
      </c>
      <c r="K8" s="45">
        <f t="shared" si="0"/>
        <v>94708</v>
      </c>
      <c r="L8" s="45">
        <f t="shared" si="0"/>
        <v>53504</v>
      </c>
      <c r="M8" s="45">
        <f t="shared" si="0"/>
        <v>48493</v>
      </c>
      <c r="N8" s="45">
        <f t="shared" si="0"/>
        <v>36508</v>
      </c>
      <c r="O8" s="45">
        <f t="shared" si="0"/>
        <v>72527</v>
      </c>
      <c r="P8" s="46">
        <f t="shared" si="0"/>
        <v>0</v>
      </c>
      <c r="Q8" s="47">
        <f>Q9+Q10+Q15+Q16</f>
        <v>59420974</v>
      </c>
    </row>
    <row r="9" spans="1:17" ht="15">
      <c r="A9" s="48" t="s">
        <v>22</v>
      </c>
      <c r="B9" s="49" t="s">
        <v>114</v>
      </c>
      <c r="C9" s="18">
        <f>54523694+282523+90400</f>
        <v>54896617</v>
      </c>
      <c r="D9" s="18"/>
      <c r="E9" s="18"/>
      <c r="F9" s="53"/>
      <c r="G9" s="53"/>
      <c r="H9" s="18"/>
      <c r="I9" s="18"/>
      <c r="J9" s="18"/>
      <c r="K9" s="18"/>
      <c r="L9" s="18"/>
      <c r="M9" s="18"/>
      <c r="N9" s="18"/>
      <c r="O9" s="18"/>
      <c r="P9" s="220"/>
      <c r="Q9" s="51">
        <f aca="true" t="shared" si="1" ref="Q9:Q31">SUM(C9:P9)</f>
        <v>54896617</v>
      </c>
    </row>
    <row r="10" spans="1:17" ht="15">
      <c r="A10" s="54" t="s">
        <v>115</v>
      </c>
      <c r="B10" s="25" t="s">
        <v>116</v>
      </c>
      <c r="C10" s="18">
        <f>C11</f>
        <v>3804155</v>
      </c>
      <c r="D10" s="18"/>
      <c r="E10" s="18"/>
      <c r="F10" s="53"/>
      <c r="G10" s="53"/>
      <c r="H10" s="18">
        <f>H11</f>
        <v>111124</v>
      </c>
      <c r="I10" s="55">
        <f aca="true" t="shared" si="2" ref="I10:P10">I11</f>
        <v>49020</v>
      </c>
      <c r="J10" s="55">
        <f t="shared" si="2"/>
        <v>56671</v>
      </c>
      <c r="K10" s="55">
        <f t="shared" si="2"/>
        <v>94708</v>
      </c>
      <c r="L10" s="55">
        <f t="shared" si="2"/>
        <v>53504</v>
      </c>
      <c r="M10" s="55">
        <f t="shared" si="2"/>
        <v>48493</v>
      </c>
      <c r="N10" s="55">
        <f t="shared" si="2"/>
        <v>36508</v>
      </c>
      <c r="O10" s="55">
        <f t="shared" si="2"/>
        <v>72527</v>
      </c>
      <c r="P10" s="92">
        <f t="shared" si="2"/>
        <v>0</v>
      </c>
      <c r="Q10" s="51">
        <f t="shared" si="1"/>
        <v>4326710</v>
      </c>
    </row>
    <row r="11" spans="1:17" ht="15">
      <c r="A11" s="54" t="s">
        <v>23</v>
      </c>
      <c r="B11" s="25" t="s">
        <v>24</v>
      </c>
      <c r="C11" s="18">
        <f>SUM(C12:C14)</f>
        <v>3804155</v>
      </c>
      <c r="D11" s="18"/>
      <c r="E11" s="18"/>
      <c r="F11" s="53"/>
      <c r="G11" s="53"/>
      <c r="H11" s="18">
        <f>SUM(H12:H14)</f>
        <v>111124</v>
      </c>
      <c r="I11" s="18">
        <f aca="true" t="shared" si="3" ref="I11:P11">SUM(I12:I14)</f>
        <v>49020</v>
      </c>
      <c r="J11" s="18">
        <f t="shared" si="3"/>
        <v>56671</v>
      </c>
      <c r="K11" s="18">
        <f t="shared" si="3"/>
        <v>94708</v>
      </c>
      <c r="L11" s="18">
        <f t="shared" si="3"/>
        <v>53504</v>
      </c>
      <c r="M11" s="18">
        <f t="shared" si="3"/>
        <v>48493</v>
      </c>
      <c r="N11" s="18">
        <f t="shared" si="3"/>
        <v>36508</v>
      </c>
      <c r="O11" s="18">
        <f>SUM(O12:O14)</f>
        <v>72527</v>
      </c>
      <c r="P11" s="92">
        <f t="shared" si="3"/>
        <v>0</v>
      </c>
      <c r="Q11" s="51">
        <f t="shared" si="1"/>
        <v>4326710</v>
      </c>
    </row>
    <row r="12" spans="1:17" ht="15">
      <c r="A12" s="52" t="s">
        <v>11</v>
      </c>
      <c r="B12" s="25" t="s">
        <v>25</v>
      </c>
      <c r="C12" s="56">
        <f>2161042-H12-I12-J12-K12-L12-M12-N12-O12+450000+8739</f>
        <v>2162139</v>
      </c>
      <c r="D12" s="55"/>
      <c r="E12" s="55"/>
      <c r="F12" s="18"/>
      <c r="G12" s="18"/>
      <c r="H12" s="4">
        <v>93385</v>
      </c>
      <c r="I12" s="207">
        <v>42356</v>
      </c>
      <c r="J12" s="206">
        <v>49694</v>
      </c>
      <c r="K12" s="200">
        <v>80783</v>
      </c>
      <c r="L12" s="18">
        <v>46876</v>
      </c>
      <c r="M12" s="207">
        <v>43849</v>
      </c>
      <c r="N12" s="207">
        <v>33765</v>
      </c>
      <c r="O12" s="57">
        <v>66934</v>
      </c>
      <c r="P12" s="220"/>
      <c r="Q12" s="51">
        <f t="shared" si="1"/>
        <v>2619781</v>
      </c>
    </row>
    <row r="13" spans="1:17" ht="15">
      <c r="A13" s="52" t="s">
        <v>12</v>
      </c>
      <c r="B13" s="25" t="s">
        <v>26</v>
      </c>
      <c r="C13" s="56">
        <f>697823-H13-I13-J13-K13-L13-M13-N13-O13+200000+2352</f>
        <v>871058</v>
      </c>
      <c r="D13" s="55"/>
      <c r="E13" s="55"/>
      <c r="F13" s="18"/>
      <c r="G13" s="18"/>
      <c r="H13" s="4">
        <v>5967</v>
      </c>
      <c r="I13" s="207">
        <v>5451</v>
      </c>
      <c r="J13" s="206">
        <v>2454</v>
      </c>
      <c r="K13" s="200">
        <v>6546</v>
      </c>
      <c r="L13" s="18">
        <v>6628</v>
      </c>
      <c r="M13" s="206">
        <v>955</v>
      </c>
      <c r="N13" s="206">
        <v>771</v>
      </c>
      <c r="O13" s="57">
        <v>345</v>
      </c>
      <c r="P13" s="220"/>
      <c r="Q13" s="51">
        <f t="shared" si="1"/>
        <v>900175</v>
      </c>
    </row>
    <row r="14" spans="1:17" ht="15">
      <c r="A14" s="52" t="s">
        <v>164</v>
      </c>
      <c r="B14" s="25" t="s">
        <v>165</v>
      </c>
      <c r="C14" s="56">
        <f>554140-H14-I14-J14-K14-L14-M14-N14-O14+250000+2614</f>
        <v>770958</v>
      </c>
      <c r="D14" s="55"/>
      <c r="E14" s="55"/>
      <c r="F14" s="18"/>
      <c r="G14" s="18"/>
      <c r="H14" s="4">
        <v>11772</v>
      </c>
      <c r="I14" s="207">
        <v>1213</v>
      </c>
      <c r="J14" s="207">
        <v>4523</v>
      </c>
      <c r="K14" s="200">
        <v>7379</v>
      </c>
      <c r="L14" s="55"/>
      <c r="M14" s="206">
        <v>3689</v>
      </c>
      <c r="N14" s="206">
        <v>1972</v>
      </c>
      <c r="O14" s="57">
        <v>5248</v>
      </c>
      <c r="P14" s="220"/>
      <c r="Q14" s="51">
        <f t="shared" si="1"/>
        <v>806754</v>
      </c>
    </row>
    <row r="15" spans="1:17" ht="15">
      <c r="A15" s="60" t="s">
        <v>13</v>
      </c>
      <c r="B15" s="61" t="s">
        <v>27</v>
      </c>
      <c r="C15" s="63">
        <v>13000</v>
      </c>
      <c r="D15" s="62"/>
      <c r="E15" s="62"/>
      <c r="F15" s="18"/>
      <c r="G15" s="64"/>
      <c r="H15" s="65"/>
      <c r="I15" s="62"/>
      <c r="J15" s="66"/>
      <c r="K15" s="62"/>
      <c r="L15" s="62"/>
      <c r="M15" s="62"/>
      <c r="N15" s="66"/>
      <c r="O15" s="64"/>
      <c r="P15" s="92"/>
      <c r="Q15" s="51">
        <f t="shared" si="1"/>
        <v>13000</v>
      </c>
    </row>
    <row r="16" spans="1:17" ht="15.75" thickBot="1">
      <c r="A16" s="67" t="s">
        <v>328</v>
      </c>
      <c r="B16" s="68" t="s">
        <v>238</v>
      </c>
      <c r="C16" s="69">
        <f>180000+4647</f>
        <v>184647</v>
      </c>
      <c r="D16" s="66"/>
      <c r="E16" s="66"/>
      <c r="F16" s="70"/>
      <c r="G16" s="70"/>
      <c r="H16" s="66"/>
      <c r="I16" s="66"/>
      <c r="J16" s="66"/>
      <c r="K16" s="66"/>
      <c r="L16" s="66"/>
      <c r="M16" s="66"/>
      <c r="N16" s="66"/>
      <c r="O16" s="70"/>
      <c r="P16" s="221"/>
      <c r="Q16" s="71">
        <f t="shared" si="1"/>
        <v>184647</v>
      </c>
    </row>
    <row r="17" spans="1:17" ht="15.75" thickBot="1">
      <c r="A17" s="43"/>
      <c r="B17" s="44" t="s">
        <v>28</v>
      </c>
      <c r="C17" s="45">
        <f aca="true" t="shared" si="4" ref="C17:P17">SUM(C18:C24)</f>
        <v>424339</v>
      </c>
      <c r="D17" s="45">
        <f t="shared" si="4"/>
        <v>2853</v>
      </c>
      <c r="E17" s="45">
        <f t="shared" si="4"/>
        <v>0</v>
      </c>
      <c r="F17" s="45">
        <f t="shared" si="4"/>
        <v>0</v>
      </c>
      <c r="G17" s="45">
        <f t="shared" si="4"/>
        <v>0</v>
      </c>
      <c r="H17" s="45">
        <f t="shared" si="4"/>
        <v>25261</v>
      </c>
      <c r="I17" s="45">
        <f t="shared" si="4"/>
        <v>6587</v>
      </c>
      <c r="J17" s="45">
        <f t="shared" si="4"/>
        <v>4660</v>
      </c>
      <c r="K17" s="45">
        <f t="shared" si="4"/>
        <v>3206</v>
      </c>
      <c r="L17" s="45">
        <f t="shared" si="4"/>
        <v>0</v>
      </c>
      <c r="M17" s="45">
        <f t="shared" si="4"/>
        <v>4213</v>
      </c>
      <c r="N17" s="45">
        <f t="shared" si="4"/>
        <v>5891</v>
      </c>
      <c r="O17" s="45">
        <f t="shared" si="4"/>
        <v>94</v>
      </c>
      <c r="P17" s="46">
        <f t="shared" si="4"/>
        <v>40000</v>
      </c>
      <c r="Q17" s="47">
        <f t="shared" si="1"/>
        <v>517104</v>
      </c>
    </row>
    <row r="18" spans="1:17" ht="15">
      <c r="A18" s="72" t="s">
        <v>292</v>
      </c>
      <c r="B18" s="73" t="s">
        <v>293</v>
      </c>
      <c r="C18" s="73"/>
      <c r="D18" s="33"/>
      <c r="E18" s="33"/>
      <c r="F18" s="32"/>
      <c r="G18" s="32"/>
      <c r="H18" s="33"/>
      <c r="I18" s="32"/>
      <c r="J18" s="32"/>
      <c r="K18" s="32"/>
      <c r="L18" s="32"/>
      <c r="M18" s="32"/>
      <c r="N18" s="32"/>
      <c r="O18" s="32"/>
      <c r="P18" s="222"/>
      <c r="Q18" s="74">
        <f t="shared" si="1"/>
        <v>0</v>
      </c>
    </row>
    <row r="19" spans="1:17" ht="30">
      <c r="A19" s="48" t="s">
        <v>117</v>
      </c>
      <c r="B19" s="49" t="s">
        <v>118</v>
      </c>
      <c r="C19" s="50">
        <v>5600</v>
      </c>
      <c r="D19" s="50">
        <v>2653</v>
      </c>
      <c r="E19" s="50"/>
      <c r="F19" s="26"/>
      <c r="G19" s="26"/>
      <c r="H19" s="50"/>
      <c r="I19" s="50"/>
      <c r="J19" s="50"/>
      <c r="K19" s="50">
        <v>119</v>
      </c>
      <c r="L19" s="50"/>
      <c r="M19" s="50"/>
      <c r="N19" s="50"/>
      <c r="O19" s="26"/>
      <c r="P19" s="220"/>
      <c r="Q19" s="51">
        <f t="shared" si="1"/>
        <v>8372</v>
      </c>
    </row>
    <row r="20" spans="1:17" ht="30">
      <c r="A20" s="54" t="s">
        <v>29</v>
      </c>
      <c r="B20" s="25" t="s">
        <v>30</v>
      </c>
      <c r="C20" s="18">
        <f>18000+478</f>
        <v>18478</v>
      </c>
      <c r="D20" s="18">
        <v>200</v>
      </c>
      <c r="E20" s="18"/>
      <c r="F20" s="53"/>
      <c r="G20" s="53"/>
      <c r="H20" s="18"/>
      <c r="I20" s="18">
        <v>4</v>
      </c>
      <c r="J20" s="37">
        <v>9</v>
      </c>
      <c r="K20" s="200">
        <v>2059</v>
      </c>
      <c r="L20" s="18"/>
      <c r="M20" s="55"/>
      <c r="N20" s="18"/>
      <c r="O20" s="57"/>
      <c r="P20" s="220"/>
      <c r="Q20" s="51">
        <f t="shared" si="1"/>
        <v>20750</v>
      </c>
    </row>
    <row r="21" spans="1:17" ht="15">
      <c r="A21" s="54" t="s">
        <v>15</v>
      </c>
      <c r="B21" s="25" t="s">
        <v>14</v>
      </c>
      <c r="C21" s="18">
        <f>45000+1215</f>
        <v>46215</v>
      </c>
      <c r="D21" s="18"/>
      <c r="E21" s="18"/>
      <c r="F21" s="53"/>
      <c r="G21" s="53"/>
      <c r="H21" s="18">
        <v>208</v>
      </c>
      <c r="I21" s="18"/>
      <c r="J21" s="37">
        <v>9</v>
      </c>
      <c r="K21" s="200">
        <v>428</v>
      </c>
      <c r="L21" s="18"/>
      <c r="M21" s="55">
        <v>13</v>
      </c>
      <c r="N21" s="200">
        <v>6</v>
      </c>
      <c r="O21" s="57">
        <v>67</v>
      </c>
      <c r="P21" s="220"/>
      <c r="Q21" s="51">
        <f t="shared" si="1"/>
        <v>46946</v>
      </c>
    </row>
    <row r="22" spans="1:17" ht="15">
      <c r="A22" s="54" t="s">
        <v>119</v>
      </c>
      <c r="B22" s="25" t="s">
        <v>120</v>
      </c>
      <c r="C22" s="18">
        <v>60000</v>
      </c>
      <c r="D22" s="18"/>
      <c r="E22" s="18"/>
      <c r="F22" s="53"/>
      <c r="G22" s="53"/>
      <c r="H22" s="18"/>
      <c r="I22" s="18"/>
      <c r="J22" s="200"/>
      <c r="K22" s="18"/>
      <c r="L22" s="18"/>
      <c r="M22" s="18"/>
      <c r="N22" s="200"/>
      <c r="O22" s="53">
        <v>5</v>
      </c>
      <c r="P22" s="220"/>
      <c r="Q22" s="51">
        <f t="shared" si="1"/>
        <v>60005</v>
      </c>
    </row>
    <row r="23" spans="1:17" ht="15">
      <c r="A23" s="54" t="s">
        <v>329</v>
      </c>
      <c r="B23" s="25" t="s">
        <v>31</v>
      </c>
      <c r="C23" s="18">
        <f>40000+12373+5874+2415+5000</f>
        <v>65662</v>
      </c>
      <c r="D23" s="18"/>
      <c r="E23" s="18"/>
      <c r="F23" s="53"/>
      <c r="G23" s="53"/>
      <c r="H23" s="18"/>
      <c r="I23" s="200">
        <v>373</v>
      </c>
      <c r="J23" s="200">
        <v>392</v>
      </c>
      <c r="K23" s="18"/>
      <c r="L23" s="18"/>
      <c r="M23" s="18"/>
      <c r="N23" s="200">
        <v>2585</v>
      </c>
      <c r="O23" s="53"/>
      <c r="P23" s="220"/>
      <c r="Q23" s="51">
        <f t="shared" si="1"/>
        <v>69012</v>
      </c>
    </row>
    <row r="24" spans="1:17" ht="27.75" customHeight="1">
      <c r="A24" s="54" t="s">
        <v>110</v>
      </c>
      <c r="B24" s="25" t="s">
        <v>241</v>
      </c>
      <c r="C24" s="9">
        <f>100000+22566+73900+31918</f>
        <v>228384</v>
      </c>
      <c r="D24" s="18"/>
      <c r="E24" s="18"/>
      <c r="F24" s="18"/>
      <c r="G24" s="18"/>
      <c r="H24" s="18">
        <v>25053</v>
      </c>
      <c r="I24" s="200">
        <v>6210</v>
      </c>
      <c r="J24" s="18">
        <v>4250</v>
      </c>
      <c r="K24" s="18">
        <v>600</v>
      </c>
      <c r="L24" s="53"/>
      <c r="M24" s="18">
        <v>4200</v>
      </c>
      <c r="N24" s="18">
        <v>3300</v>
      </c>
      <c r="O24" s="53">
        <v>22</v>
      </c>
      <c r="P24" s="220">
        <v>40000</v>
      </c>
      <c r="Q24" s="51">
        <f t="shared" si="1"/>
        <v>312019</v>
      </c>
    </row>
    <row r="25" spans="1:17" ht="58.5" thickBot="1">
      <c r="A25" s="76" t="s">
        <v>245</v>
      </c>
      <c r="B25" s="232" t="s">
        <v>244</v>
      </c>
      <c r="C25" s="78">
        <f>265446+141700+20000</f>
        <v>427146</v>
      </c>
      <c r="D25" s="78"/>
      <c r="E25" s="78"/>
      <c r="F25" s="79"/>
      <c r="G25" s="79"/>
      <c r="H25" s="78"/>
      <c r="I25" s="79"/>
      <c r="J25" s="79"/>
      <c r="K25" s="78"/>
      <c r="L25" s="79"/>
      <c r="M25" s="78"/>
      <c r="N25" s="79"/>
      <c r="O25" s="79"/>
      <c r="P25" s="221"/>
      <c r="Q25" s="51">
        <f t="shared" si="1"/>
        <v>427146</v>
      </c>
    </row>
    <row r="26" spans="1:17" ht="15.75" thickBot="1">
      <c r="A26" s="80" t="s">
        <v>32</v>
      </c>
      <c r="B26" s="44" t="s">
        <v>33</v>
      </c>
      <c r="C26" s="45">
        <f>SUM(C27:C27)</f>
        <v>32122076</v>
      </c>
      <c r="D26" s="45">
        <f aca="true" t="shared" si="5" ref="D26:P26">SUM(D27:D27)</f>
        <v>0</v>
      </c>
      <c r="E26" s="45">
        <f t="shared" si="5"/>
        <v>0</v>
      </c>
      <c r="F26" s="46">
        <f t="shared" si="5"/>
        <v>0</v>
      </c>
      <c r="G26" s="46">
        <f t="shared" si="5"/>
        <v>0</v>
      </c>
      <c r="H26" s="45">
        <f t="shared" si="5"/>
        <v>0</v>
      </c>
      <c r="I26" s="45">
        <f t="shared" si="5"/>
        <v>0</v>
      </c>
      <c r="J26" s="45">
        <f t="shared" si="5"/>
        <v>0</v>
      </c>
      <c r="K26" s="45">
        <f t="shared" si="5"/>
        <v>116955</v>
      </c>
      <c r="L26" s="45">
        <f t="shared" si="5"/>
        <v>0</v>
      </c>
      <c r="M26" s="45">
        <f t="shared" si="5"/>
        <v>7407</v>
      </c>
      <c r="N26" s="45">
        <f t="shared" si="5"/>
        <v>0</v>
      </c>
      <c r="O26" s="45">
        <f t="shared" si="5"/>
        <v>0</v>
      </c>
      <c r="P26" s="46">
        <f t="shared" si="5"/>
        <v>0</v>
      </c>
      <c r="Q26" s="47">
        <f t="shared" si="1"/>
        <v>32246438</v>
      </c>
    </row>
    <row r="27" spans="1:17" ht="24.75" customHeight="1" thickBot="1">
      <c r="A27" s="81" t="s">
        <v>161</v>
      </c>
      <c r="B27" s="82" t="s">
        <v>166</v>
      </c>
      <c r="C27" s="264">
        <f>23595991+585030+3593+7808161+90273+17224+21804</f>
        <v>32122076</v>
      </c>
      <c r="D27" s="50"/>
      <c r="E27" s="26"/>
      <c r="F27" s="26"/>
      <c r="G27" s="26"/>
      <c r="H27" s="50"/>
      <c r="I27" s="26"/>
      <c r="J27" s="26"/>
      <c r="K27" s="26">
        <f>116955</f>
        <v>116955</v>
      </c>
      <c r="L27" s="26"/>
      <c r="M27" s="26">
        <v>7407</v>
      </c>
      <c r="N27" s="26"/>
      <c r="O27" s="26"/>
      <c r="P27" s="220"/>
      <c r="Q27" s="51">
        <f>SUM(C27:P27)</f>
        <v>32246438</v>
      </c>
    </row>
    <row r="28" spans="1:17" ht="15.75" thickBot="1">
      <c r="A28" s="80" t="s">
        <v>34</v>
      </c>
      <c r="B28" s="44" t="s">
        <v>35</v>
      </c>
      <c r="C28" s="46">
        <f>SUM(C29:C31)</f>
        <v>626103</v>
      </c>
      <c r="D28" s="46">
        <f aca="true" t="shared" si="6" ref="D28:P28">SUM(D29:D31)</f>
        <v>0</v>
      </c>
      <c r="E28" s="46">
        <f t="shared" si="6"/>
        <v>0</v>
      </c>
      <c r="F28" s="46">
        <f t="shared" si="6"/>
        <v>0</v>
      </c>
      <c r="G28" s="46">
        <f t="shared" si="6"/>
        <v>0</v>
      </c>
      <c r="H28" s="45">
        <f t="shared" si="6"/>
        <v>0</v>
      </c>
      <c r="I28" s="45">
        <f t="shared" si="6"/>
        <v>0</v>
      </c>
      <c r="J28" s="45">
        <f t="shared" si="6"/>
        <v>0</v>
      </c>
      <c r="K28" s="45">
        <f t="shared" si="6"/>
        <v>390</v>
      </c>
      <c r="L28" s="45">
        <f t="shared" si="6"/>
        <v>0</v>
      </c>
      <c r="M28" s="45">
        <f t="shared" si="6"/>
        <v>0</v>
      </c>
      <c r="N28" s="45">
        <f t="shared" si="6"/>
        <v>0</v>
      </c>
      <c r="O28" s="45">
        <f>SUM(O29:O31)</f>
        <v>0</v>
      </c>
      <c r="P28" s="46">
        <f t="shared" si="6"/>
        <v>0</v>
      </c>
      <c r="Q28" s="47">
        <f t="shared" si="1"/>
        <v>626493</v>
      </c>
    </row>
    <row r="29" spans="1:17" ht="30">
      <c r="A29" s="48" t="s">
        <v>121</v>
      </c>
      <c r="B29" s="49" t="s">
        <v>167</v>
      </c>
      <c r="C29" s="26"/>
      <c r="D29" s="26"/>
      <c r="E29" s="26"/>
      <c r="F29" s="26"/>
      <c r="G29" s="26"/>
      <c r="H29" s="50"/>
      <c r="I29" s="26"/>
      <c r="J29" s="26"/>
      <c r="K29" s="26"/>
      <c r="L29" s="26"/>
      <c r="M29" s="26"/>
      <c r="N29" s="26"/>
      <c r="O29" s="26"/>
      <c r="P29" s="220"/>
      <c r="Q29" s="51">
        <f t="shared" si="1"/>
        <v>0</v>
      </c>
    </row>
    <row r="30" spans="1:17" ht="30">
      <c r="A30" s="54" t="s">
        <v>36</v>
      </c>
      <c r="B30" s="25" t="s">
        <v>168</v>
      </c>
      <c r="C30" s="129">
        <f>600000+26103</f>
        <v>626103</v>
      </c>
      <c r="D30" s="53"/>
      <c r="E30" s="53"/>
      <c r="F30" s="53"/>
      <c r="G30" s="53"/>
      <c r="H30" s="18"/>
      <c r="I30" s="53"/>
      <c r="J30" s="53"/>
      <c r="K30" s="53">
        <v>390</v>
      </c>
      <c r="L30" s="53"/>
      <c r="M30" s="18"/>
      <c r="N30" s="53"/>
      <c r="O30" s="53"/>
      <c r="P30" s="220"/>
      <c r="Q30" s="51">
        <f t="shared" si="1"/>
        <v>626493</v>
      </c>
    </row>
    <row r="31" spans="1:17" ht="18" customHeight="1" thickBot="1">
      <c r="A31" s="67" t="s">
        <v>37</v>
      </c>
      <c r="B31" s="25" t="s">
        <v>264</v>
      </c>
      <c r="C31" s="66"/>
      <c r="D31" s="66"/>
      <c r="E31" s="70"/>
      <c r="F31" s="70"/>
      <c r="G31" s="70"/>
      <c r="H31" s="65"/>
      <c r="I31" s="66"/>
      <c r="J31" s="69"/>
      <c r="K31" s="66"/>
      <c r="L31" s="70"/>
      <c r="M31" s="83"/>
      <c r="N31" s="84"/>
      <c r="O31" s="212"/>
      <c r="P31" s="221"/>
      <c r="Q31" s="71">
        <f t="shared" si="1"/>
        <v>0</v>
      </c>
    </row>
    <row r="32" spans="1:17" ht="15.75" thickBot="1">
      <c r="A32" s="80" t="s">
        <v>38</v>
      </c>
      <c r="B32" s="44" t="s">
        <v>39</v>
      </c>
      <c r="C32" s="46">
        <f aca="true" t="shared" si="7" ref="C32:P32">SUM(C33,C34,C40)</f>
        <v>1883836</v>
      </c>
      <c r="D32" s="46">
        <f t="shared" si="7"/>
        <v>2964647</v>
      </c>
      <c r="E32" s="46">
        <f t="shared" si="7"/>
        <v>346835</v>
      </c>
      <c r="F32" s="46">
        <f t="shared" si="7"/>
        <v>460948</v>
      </c>
      <c r="G32" s="46">
        <f t="shared" si="7"/>
        <v>751670</v>
      </c>
      <c r="H32" s="46">
        <f t="shared" si="7"/>
        <v>57654</v>
      </c>
      <c r="I32" s="46">
        <f t="shared" si="7"/>
        <v>94012</v>
      </c>
      <c r="J32" s="46">
        <f t="shared" si="7"/>
        <v>127404</v>
      </c>
      <c r="K32" s="46">
        <f t="shared" si="7"/>
        <v>320734</v>
      </c>
      <c r="L32" s="46">
        <f t="shared" si="7"/>
        <v>7659</v>
      </c>
      <c r="M32" s="46">
        <f t="shared" si="7"/>
        <v>15686</v>
      </c>
      <c r="N32" s="46">
        <f t="shared" si="7"/>
        <v>10729</v>
      </c>
      <c r="O32" s="46">
        <f t="shared" si="7"/>
        <v>58166</v>
      </c>
      <c r="P32" s="46">
        <f t="shared" si="7"/>
        <v>7502</v>
      </c>
      <c r="Q32" s="47">
        <f>SUM(C32:P32)</f>
        <v>7107482</v>
      </c>
    </row>
    <row r="33" spans="1:17" ht="31.5">
      <c r="A33" s="85" t="s">
        <v>149</v>
      </c>
      <c r="B33" s="233" t="s">
        <v>150</v>
      </c>
      <c r="C33" s="86">
        <f>18249+66556+4800</f>
        <v>89605</v>
      </c>
      <c r="D33" s="26"/>
      <c r="E33" s="26"/>
      <c r="F33" s="26"/>
      <c r="G33" s="26"/>
      <c r="H33" s="50"/>
      <c r="I33" s="50"/>
      <c r="J33" s="50"/>
      <c r="K33" s="50"/>
      <c r="L33" s="50"/>
      <c r="M33" s="50"/>
      <c r="N33" s="50"/>
      <c r="O33" s="26"/>
      <c r="P33" s="220"/>
      <c r="Q33" s="51">
        <f>SUM(C33:O33)</f>
        <v>89605</v>
      </c>
    </row>
    <row r="34" spans="1:17" ht="43.5">
      <c r="A34" s="87" t="s">
        <v>40</v>
      </c>
      <c r="B34" s="88" t="s">
        <v>169</v>
      </c>
      <c r="C34" s="34">
        <f aca="true" t="shared" si="8" ref="C34:P34">SUM(C35:C39)</f>
        <v>1793231</v>
      </c>
      <c r="D34" s="34">
        <f t="shared" si="8"/>
        <v>2943892</v>
      </c>
      <c r="E34" s="34">
        <f t="shared" si="8"/>
        <v>345488</v>
      </c>
      <c r="F34" s="34">
        <f t="shared" si="8"/>
        <v>460948</v>
      </c>
      <c r="G34" s="34">
        <f t="shared" si="8"/>
        <v>751670</v>
      </c>
      <c r="H34" s="34">
        <f t="shared" si="8"/>
        <v>57438</v>
      </c>
      <c r="I34" s="89">
        <f t="shared" si="8"/>
        <v>94012</v>
      </c>
      <c r="J34" s="34">
        <f t="shared" si="8"/>
        <v>127404</v>
      </c>
      <c r="K34" s="34">
        <f t="shared" si="8"/>
        <v>318786</v>
      </c>
      <c r="L34" s="34">
        <f t="shared" si="8"/>
        <v>7632</v>
      </c>
      <c r="M34" s="34">
        <f t="shared" si="8"/>
        <v>15686</v>
      </c>
      <c r="N34" s="34">
        <f t="shared" si="8"/>
        <v>10729</v>
      </c>
      <c r="O34" s="34">
        <f t="shared" si="8"/>
        <v>57366</v>
      </c>
      <c r="P34" s="89">
        <f t="shared" si="8"/>
        <v>7502</v>
      </c>
      <c r="Q34" s="51">
        <f aca="true" t="shared" si="9" ref="Q34:Q44">SUM(C34:P34)</f>
        <v>6991784</v>
      </c>
    </row>
    <row r="35" spans="1:17" ht="30">
      <c r="A35" s="52" t="s">
        <v>294</v>
      </c>
      <c r="B35" s="25" t="s">
        <v>330</v>
      </c>
      <c r="C35" s="90">
        <v>49</v>
      </c>
      <c r="D35" s="90"/>
      <c r="E35" s="90"/>
      <c r="F35" s="91"/>
      <c r="G35" s="91"/>
      <c r="H35" s="34"/>
      <c r="I35" s="89"/>
      <c r="J35" s="34"/>
      <c r="K35" s="200"/>
      <c r="L35" s="34"/>
      <c r="M35" s="89"/>
      <c r="N35" s="34"/>
      <c r="O35" s="89"/>
      <c r="P35" s="217"/>
      <c r="Q35" s="51">
        <f t="shared" si="9"/>
        <v>49</v>
      </c>
    </row>
    <row r="36" spans="1:17" ht="15">
      <c r="A36" s="52" t="s">
        <v>122</v>
      </c>
      <c r="B36" s="25" t="s">
        <v>123</v>
      </c>
      <c r="C36" s="55">
        <f>374350+57133+2200</f>
        <v>433683</v>
      </c>
      <c r="D36" s="90"/>
      <c r="E36" s="90"/>
      <c r="F36" s="53"/>
      <c r="G36" s="53"/>
      <c r="H36" s="18">
        <v>48290</v>
      </c>
      <c r="I36" s="34"/>
      <c r="J36" s="18">
        <v>8148</v>
      </c>
      <c r="K36" s="200">
        <v>59822</v>
      </c>
      <c r="L36" s="34"/>
      <c r="M36" s="34"/>
      <c r="N36" s="34"/>
      <c r="O36" s="53">
        <v>9921</v>
      </c>
      <c r="P36" s="217"/>
      <c r="Q36" s="51">
        <f t="shared" si="9"/>
        <v>559864</v>
      </c>
    </row>
    <row r="37" spans="1:17" ht="30">
      <c r="A37" s="52" t="s">
        <v>124</v>
      </c>
      <c r="B37" s="25" t="s">
        <v>311</v>
      </c>
      <c r="C37" s="18">
        <v>10</v>
      </c>
      <c r="D37" s="18"/>
      <c r="E37" s="53"/>
      <c r="F37" s="53"/>
      <c r="G37" s="53"/>
      <c r="H37" s="18"/>
      <c r="I37" s="18"/>
      <c r="J37" s="18"/>
      <c r="K37" s="200">
        <v>44</v>
      </c>
      <c r="L37" s="18"/>
      <c r="M37" s="18"/>
      <c r="N37" s="18"/>
      <c r="O37" s="53"/>
      <c r="P37" s="220"/>
      <c r="Q37" s="51">
        <f t="shared" si="9"/>
        <v>54</v>
      </c>
    </row>
    <row r="38" spans="1:17" ht="15">
      <c r="A38" s="52" t="s">
        <v>41</v>
      </c>
      <c r="B38" s="25" t="s">
        <v>42</v>
      </c>
      <c r="C38" s="18">
        <f>558280+125197+18067+641</f>
        <v>702185</v>
      </c>
      <c r="D38" s="3">
        <v>36036</v>
      </c>
      <c r="E38" s="18">
        <f>56550+4493+7000</f>
        <v>68043</v>
      </c>
      <c r="F38" s="18">
        <v>13442</v>
      </c>
      <c r="G38" s="55">
        <v>650</v>
      </c>
      <c r="H38" s="55">
        <v>8513</v>
      </c>
      <c r="I38" s="200">
        <v>9542</v>
      </c>
      <c r="J38" s="18">
        <v>5249</v>
      </c>
      <c r="K38" s="200">
        <v>24347</v>
      </c>
      <c r="L38" s="53">
        <v>2020</v>
      </c>
      <c r="M38" s="2">
        <v>1974</v>
      </c>
      <c r="N38" s="200">
        <v>2724</v>
      </c>
      <c r="O38" s="57">
        <v>6774</v>
      </c>
      <c r="P38" s="220">
        <v>2917</v>
      </c>
      <c r="Q38" s="51">
        <f t="shared" si="9"/>
        <v>884416</v>
      </c>
    </row>
    <row r="39" spans="1:17" ht="30">
      <c r="A39" s="52" t="s">
        <v>43</v>
      </c>
      <c r="B39" s="25" t="s">
        <v>44</v>
      </c>
      <c r="C39" s="18">
        <f>377613+269171+10520</f>
        <v>657304</v>
      </c>
      <c r="D39" s="3">
        <v>2907856</v>
      </c>
      <c r="E39" s="18">
        <f>199600+76095+1750</f>
        <v>277445</v>
      </c>
      <c r="F39" s="18">
        <v>447506</v>
      </c>
      <c r="G39" s="55">
        <v>751020</v>
      </c>
      <c r="H39" s="93">
        <v>635</v>
      </c>
      <c r="I39" s="207">
        <v>84470</v>
      </c>
      <c r="J39" s="18">
        <v>114007</v>
      </c>
      <c r="K39" s="200">
        <f>234571+2</f>
        <v>234573</v>
      </c>
      <c r="L39" s="53">
        <v>5612</v>
      </c>
      <c r="M39" s="2">
        <v>13712</v>
      </c>
      <c r="N39" s="206">
        <v>8005</v>
      </c>
      <c r="O39" s="57">
        <v>40671</v>
      </c>
      <c r="P39" s="220">
        <v>4585</v>
      </c>
      <c r="Q39" s="51">
        <f t="shared" si="9"/>
        <v>5547401</v>
      </c>
    </row>
    <row r="40" spans="1:17" ht="30" thickBot="1">
      <c r="A40" s="87" t="s">
        <v>252</v>
      </c>
      <c r="B40" s="88" t="s">
        <v>253</v>
      </c>
      <c r="C40" s="78">
        <v>1000</v>
      </c>
      <c r="D40" s="78">
        <v>20755</v>
      </c>
      <c r="E40" s="79">
        <f>8114-6767</f>
        <v>1347</v>
      </c>
      <c r="F40" s="79"/>
      <c r="G40" s="79"/>
      <c r="H40" s="94">
        <v>216</v>
      </c>
      <c r="I40" s="78"/>
      <c r="J40" s="95"/>
      <c r="K40" s="95">
        <v>1948</v>
      </c>
      <c r="L40" s="175">
        <v>27</v>
      </c>
      <c r="M40" s="78"/>
      <c r="N40" s="95"/>
      <c r="O40" s="95">
        <v>800</v>
      </c>
      <c r="P40" s="175"/>
      <c r="Q40" s="51">
        <f t="shared" si="9"/>
        <v>26093</v>
      </c>
    </row>
    <row r="41" spans="1:17" ht="15.75" thickBot="1">
      <c r="A41" s="96"/>
      <c r="B41" s="97" t="s">
        <v>45</v>
      </c>
      <c r="C41" s="98">
        <f aca="true" t="shared" si="10" ref="C41:P41">SUM(C8+C17+C25+C26+C28+C32)</f>
        <v>94381919</v>
      </c>
      <c r="D41" s="98">
        <f t="shared" si="10"/>
        <v>2967500</v>
      </c>
      <c r="E41" s="98">
        <f t="shared" si="10"/>
        <v>346835</v>
      </c>
      <c r="F41" s="99">
        <f t="shared" si="10"/>
        <v>460948</v>
      </c>
      <c r="G41" s="99">
        <f t="shared" si="10"/>
        <v>751670</v>
      </c>
      <c r="H41" s="98">
        <f t="shared" si="10"/>
        <v>194039</v>
      </c>
      <c r="I41" s="98">
        <f t="shared" si="10"/>
        <v>149619</v>
      </c>
      <c r="J41" s="98">
        <f t="shared" si="10"/>
        <v>188735</v>
      </c>
      <c r="K41" s="98">
        <f t="shared" si="10"/>
        <v>535993</v>
      </c>
      <c r="L41" s="98">
        <f t="shared" si="10"/>
        <v>61163</v>
      </c>
      <c r="M41" s="98">
        <f t="shared" si="10"/>
        <v>75799</v>
      </c>
      <c r="N41" s="98">
        <f t="shared" si="10"/>
        <v>53128</v>
      </c>
      <c r="O41" s="98">
        <f t="shared" si="10"/>
        <v>130787</v>
      </c>
      <c r="P41" s="98">
        <f t="shared" si="10"/>
        <v>47502</v>
      </c>
      <c r="Q41" s="47">
        <f t="shared" si="9"/>
        <v>100345637</v>
      </c>
    </row>
    <row r="42" spans="1:17" ht="15">
      <c r="A42" s="100" t="s">
        <v>393</v>
      </c>
      <c r="B42" s="101" t="s">
        <v>377</v>
      </c>
      <c r="C42" s="265">
        <f>11551434+222425+105000-650969</f>
        <v>11227890</v>
      </c>
      <c r="D42" s="50"/>
      <c r="E42" s="26"/>
      <c r="F42" s="26"/>
      <c r="G42" s="26"/>
      <c r="H42" s="50"/>
      <c r="I42" s="50"/>
      <c r="J42" s="50"/>
      <c r="K42" s="50"/>
      <c r="L42" s="50"/>
      <c r="M42" s="50"/>
      <c r="N42" s="26"/>
      <c r="O42" s="27"/>
      <c r="P42" s="27"/>
      <c r="Q42" s="35">
        <f t="shared" si="9"/>
        <v>11227890</v>
      </c>
    </row>
    <row r="43" spans="1:17" ht="15">
      <c r="A43" s="102"/>
      <c r="B43" s="103" t="s">
        <v>46</v>
      </c>
      <c r="C43" s="104">
        <f aca="true" t="shared" si="11" ref="C43:P43">SUM(C41:C42)</f>
        <v>105609809</v>
      </c>
      <c r="D43" s="102">
        <f t="shared" si="11"/>
        <v>2967500</v>
      </c>
      <c r="E43" s="102">
        <f t="shared" si="11"/>
        <v>346835</v>
      </c>
      <c r="F43" s="105">
        <f t="shared" si="11"/>
        <v>460948</v>
      </c>
      <c r="G43" s="105">
        <f t="shared" si="11"/>
        <v>751670</v>
      </c>
      <c r="H43" s="102">
        <f t="shared" si="11"/>
        <v>194039</v>
      </c>
      <c r="I43" s="102">
        <f t="shared" si="11"/>
        <v>149619</v>
      </c>
      <c r="J43" s="102">
        <f t="shared" si="11"/>
        <v>188735</v>
      </c>
      <c r="K43" s="102">
        <f t="shared" si="11"/>
        <v>535993</v>
      </c>
      <c r="L43" s="102">
        <f t="shared" si="11"/>
        <v>61163</v>
      </c>
      <c r="M43" s="102">
        <f t="shared" si="11"/>
        <v>75799</v>
      </c>
      <c r="N43" s="105">
        <f t="shared" si="11"/>
        <v>53128</v>
      </c>
      <c r="O43" s="102">
        <f>SUM(O41:O42)</f>
        <v>130787</v>
      </c>
      <c r="P43" s="102">
        <f t="shared" si="11"/>
        <v>47502</v>
      </c>
      <c r="Q43" s="86">
        <f t="shared" si="9"/>
        <v>111573527</v>
      </c>
    </row>
    <row r="44" spans="1:17" ht="18" customHeight="1">
      <c r="A44" s="106" t="s">
        <v>250</v>
      </c>
      <c r="B44" s="107" t="s">
        <v>640</v>
      </c>
      <c r="C44" s="109">
        <v>19947705</v>
      </c>
      <c r="D44" s="208">
        <v>1364869</v>
      </c>
      <c r="E44" s="18">
        <v>239214</v>
      </c>
      <c r="F44" s="18">
        <v>145455</v>
      </c>
      <c r="G44" s="55">
        <v>62610</v>
      </c>
      <c r="H44" s="55">
        <v>322323</v>
      </c>
      <c r="I44" s="18">
        <v>52591</v>
      </c>
      <c r="J44" s="18">
        <v>248062</v>
      </c>
      <c r="K44" s="9">
        <v>165819</v>
      </c>
      <c r="L44" s="53">
        <v>135648</v>
      </c>
      <c r="M44" s="18">
        <v>31698</v>
      </c>
      <c r="N44" s="18">
        <v>36111</v>
      </c>
      <c r="O44" s="18">
        <v>59976</v>
      </c>
      <c r="P44" s="50">
        <v>75911</v>
      </c>
      <c r="Q44" s="86">
        <f t="shared" si="9"/>
        <v>22887992</v>
      </c>
    </row>
    <row r="45" spans="1:17" ht="15">
      <c r="A45" s="106" t="s">
        <v>641</v>
      </c>
      <c r="B45" s="1" t="s">
        <v>151</v>
      </c>
      <c r="C45" s="108"/>
      <c r="D45" s="18"/>
      <c r="E45" s="53"/>
      <c r="F45" s="53"/>
      <c r="G45" s="53"/>
      <c r="H45" s="18"/>
      <c r="I45" s="18"/>
      <c r="J45" s="18"/>
      <c r="K45" s="18"/>
      <c r="L45" s="18"/>
      <c r="M45" s="18"/>
      <c r="N45" s="53"/>
      <c r="O45" s="18"/>
      <c r="P45" s="50"/>
      <c r="Q45" s="86">
        <f>SUM(C45:O45)</f>
        <v>0</v>
      </c>
    </row>
    <row r="46" spans="1:17" ht="15">
      <c r="A46" s="102"/>
      <c r="B46" s="107" t="s">
        <v>47</v>
      </c>
      <c r="C46" s="110">
        <f aca="true" t="shared" si="12" ref="C46:P46">SUM(C43:C44)</f>
        <v>125557514</v>
      </c>
      <c r="D46" s="110">
        <f t="shared" si="12"/>
        <v>4332369</v>
      </c>
      <c r="E46" s="110">
        <f t="shared" si="12"/>
        <v>586049</v>
      </c>
      <c r="F46" s="110">
        <f t="shared" si="12"/>
        <v>606403</v>
      </c>
      <c r="G46" s="110">
        <f t="shared" si="12"/>
        <v>814280</v>
      </c>
      <c r="H46" s="110">
        <f t="shared" si="12"/>
        <v>516362</v>
      </c>
      <c r="I46" s="110">
        <f t="shared" si="12"/>
        <v>202210</v>
      </c>
      <c r="J46" s="110">
        <f t="shared" si="12"/>
        <v>436797</v>
      </c>
      <c r="K46" s="110">
        <f t="shared" si="12"/>
        <v>701812</v>
      </c>
      <c r="L46" s="110">
        <f t="shared" si="12"/>
        <v>196811</v>
      </c>
      <c r="M46" s="110">
        <f t="shared" si="12"/>
        <v>107497</v>
      </c>
      <c r="N46" s="110">
        <f t="shared" si="12"/>
        <v>89239</v>
      </c>
      <c r="O46" s="110">
        <f>SUM(O43:O44)</f>
        <v>190763</v>
      </c>
      <c r="P46" s="110">
        <f t="shared" si="12"/>
        <v>123413</v>
      </c>
      <c r="Q46" s="110">
        <f>SUM(Q43:Q44)</f>
        <v>134461519</v>
      </c>
    </row>
    <row r="47" spans="1:17" ht="15">
      <c r="A47" s="171"/>
      <c r="B47" s="188"/>
      <c r="C47" s="266"/>
      <c r="D47" s="266"/>
      <c r="E47" s="266"/>
      <c r="F47" s="266"/>
      <c r="G47" s="266"/>
      <c r="H47" s="266"/>
      <c r="I47" s="266"/>
      <c r="J47" s="266"/>
      <c r="K47" s="266"/>
      <c r="L47" s="266"/>
      <c r="M47" s="266"/>
      <c r="N47" s="266"/>
      <c r="O47" s="266"/>
      <c r="P47" s="266"/>
      <c r="Q47" s="266"/>
    </row>
    <row r="48" spans="1:17" ht="15">
      <c r="A48" s="31"/>
      <c r="B48" s="181" t="s">
        <v>249</v>
      </c>
      <c r="C48" s="31"/>
      <c r="D48" s="31" t="s">
        <v>20</v>
      </c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172"/>
    </row>
    <row r="49" spans="1:17" ht="15">
      <c r="A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172"/>
    </row>
  </sheetData>
  <sheetProtection/>
  <printOptions/>
  <pageMargins left="0.2362204724409449" right="0.35433070866141736" top="0.7874015748031497" bottom="0.5905511811023623" header="0.5118110236220472" footer="0.5118110236220472"/>
  <pageSetup fitToHeight="0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3"/>
  <sheetViews>
    <sheetView zoomScale="106" zoomScaleNormal="106" zoomScalePageLayoutView="0" workbookViewId="0" topLeftCell="A1">
      <pane xSplit="2" ySplit="6" topLeftCell="G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K5" sqref="K5"/>
    </sheetView>
  </sheetViews>
  <sheetFormatPr defaultColWidth="9.140625" defaultRowHeight="12.75"/>
  <cols>
    <col min="1" max="1" width="9.421875" style="23" customWidth="1"/>
    <col min="2" max="2" width="41.00390625" style="181" customWidth="1"/>
    <col min="3" max="3" width="13.421875" style="23" customWidth="1"/>
    <col min="4" max="5" width="10.8515625" style="23" customWidth="1"/>
    <col min="6" max="6" width="9.140625" style="23" customWidth="1"/>
    <col min="7" max="7" width="9.57421875" style="23" bestFit="1" customWidth="1"/>
    <col min="8" max="8" width="10.8515625" style="23" customWidth="1"/>
    <col min="9" max="9" width="9.00390625" style="23" customWidth="1"/>
    <col min="10" max="10" width="10.140625" style="23" customWidth="1"/>
    <col min="11" max="11" width="10.7109375" style="23" customWidth="1"/>
    <col min="12" max="12" width="8.8515625" style="23" customWidth="1"/>
    <col min="13" max="13" width="9.7109375" style="23" customWidth="1"/>
    <col min="14" max="14" width="9.28125" style="23" customWidth="1"/>
    <col min="15" max="16" width="10.140625" style="23" customWidth="1"/>
    <col min="17" max="17" width="13.00390625" style="184" customWidth="1"/>
    <col min="18" max="16384" width="9.140625" style="23" customWidth="1"/>
  </cols>
  <sheetData>
    <row r="1" spans="1:17" ht="15">
      <c r="A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190" t="s">
        <v>48</v>
      </c>
      <c r="Q1" s="172"/>
    </row>
    <row r="2" spans="1:17" ht="15">
      <c r="A2" s="171"/>
      <c r="B2" s="188"/>
      <c r="C2" s="31"/>
      <c r="D2" s="189"/>
      <c r="E2" s="189"/>
      <c r="F2" s="189"/>
      <c r="G2" s="189"/>
      <c r="H2" s="31"/>
      <c r="I2" s="31"/>
      <c r="J2" s="31"/>
      <c r="K2" s="31"/>
      <c r="L2" s="31"/>
      <c r="M2" s="31"/>
      <c r="N2" s="31"/>
      <c r="O2" s="31"/>
      <c r="P2" s="190" t="s">
        <v>327</v>
      </c>
      <c r="Q2" s="172"/>
    </row>
    <row r="3" spans="1:17" ht="15">
      <c r="A3" s="171"/>
      <c r="B3" s="188"/>
      <c r="C3" s="31"/>
      <c r="D3" s="191"/>
      <c r="E3" s="191"/>
      <c r="F3" s="191"/>
      <c r="G3" s="191"/>
      <c r="H3" s="31"/>
      <c r="I3" s="31"/>
      <c r="J3" s="31"/>
      <c r="K3" s="31"/>
      <c r="L3" s="31"/>
      <c r="M3" s="31"/>
      <c r="N3" s="31"/>
      <c r="O3" s="31"/>
      <c r="P3" s="190" t="s">
        <v>790</v>
      </c>
      <c r="Q3" s="172"/>
    </row>
    <row r="4" spans="1:17" ht="15">
      <c r="A4" s="192"/>
      <c r="B4" s="77"/>
      <c r="C4" s="31"/>
      <c r="D4" s="191"/>
      <c r="E4" s="191"/>
      <c r="F4" s="191"/>
      <c r="G4" s="191"/>
      <c r="H4" s="31"/>
      <c r="I4" s="31"/>
      <c r="J4" s="31"/>
      <c r="K4" s="31"/>
      <c r="L4" s="31"/>
      <c r="M4" s="31"/>
      <c r="N4" s="31"/>
      <c r="O4" s="31"/>
      <c r="P4" s="31"/>
      <c r="Q4" s="172"/>
    </row>
    <row r="5" spans="1:17" ht="39.75" customHeight="1" thickBot="1">
      <c r="A5" s="288" t="s">
        <v>642</v>
      </c>
      <c r="B5" s="288"/>
      <c r="C5" s="288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172"/>
    </row>
    <row r="6" spans="1:17" ht="135.75" thickBot="1">
      <c r="A6" s="111" t="s">
        <v>9</v>
      </c>
      <c r="B6" s="112" t="s">
        <v>113</v>
      </c>
      <c r="C6" s="41" t="s">
        <v>627</v>
      </c>
      <c r="D6" s="113" t="s">
        <v>628</v>
      </c>
      <c r="E6" s="40" t="s">
        <v>629</v>
      </c>
      <c r="F6" s="41" t="s">
        <v>630</v>
      </c>
      <c r="G6" s="282" t="s">
        <v>786</v>
      </c>
      <c r="H6" s="114" t="s">
        <v>631</v>
      </c>
      <c r="I6" s="114" t="s">
        <v>632</v>
      </c>
      <c r="J6" s="114" t="s">
        <v>633</v>
      </c>
      <c r="K6" s="114" t="s">
        <v>634</v>
      </c>
      <c r="L6" s="114" t="s">
        <v>635</v>
      </c>
      <c r="M6" s="114" t="s">
        <v>636</v>
      </c>
      <c r="N6" s="114" t="s">
        <v>637</v>
      </c>
      <c r="O6" s="115" t="s">
        <v>638</v>
      </c>
      <c r="P6" s="202" t="s">
        <v>389</v>
      </c>
      <c r="Q6" s="116" t="s">
        <v>639</v>
      </c>
    </row>
    <row r="7" spans="1:17" ht="15.75" thickBot="1">
      <c r="A7" s="117" t="s">
        <v>49</v>
      </c>
      <c r="B7" s="44" t="s">
        <v>50</v>
      </c>
      <c r="C7" s="46">
        <f>C8+C9+C10+C11+C13+C14+C16</f>
        <v>10138268</v>
      </c>
      <c r="D7" s="46">
        <f aca="true" t="shared" si="0" ref="D7:P7">D8+D9+D10+D11+D13+D14+D16</f>
        <v>0</v>
      </c>
      <c r="E7" s="46">
        <f t="shared" si="0"/>
        <v>0</v>
      </c>
      <c r="F7" s="46">
        <f t="shared" si="0"/>
        <v>0</v>
      </c>
      <c r="G7" s="46">
        <f t="shared" si="0"/>
        <v>0</v>
      </c>
      <c r="H7" s="46">
        <f t="shared" si="0"/>
        <v>94879</v>
      </c>
      <c r="I7" s="46">
        <f t="shared" si="0"/>
        <v>55249</v>
      </c>
      <c r="J7" s="46">
        <f t="shared" si="0"/>
        <v>74408</v>
      </c>
      <c r="K7" s="46">
        <f t="shared" si="0"/>
        <v>79967</v>
      </c>
      <c r="L7" s="46">
        <f t="shared" si="0"/>
        <v>93266</v>
      </c>
      <c r="M7" s="46">
        <f t="shared" si="0"/>
        <v>47111</v>
      </c>
      <c r="N7" s="46">
        <f t="shared" si="0"/>
        <v>52919</v>
      </c>
      <c r="O7" s="46">
        <f t="shared" si="0"/>
        <v>94244</v>
      </c>
      <c r="P7" s="46">
        <f t="shared" si="0"/>
        <v>0</v>
      </c>
      <c r="Q7" s="47">
        <f aca="true" t="shared" si="1" ref="Q7:Q22">SUM(C7:P7)</f>
        <v>10730311</v>
      </c>
    </row>
    <row r="8" spans="1:17" ht="29.25">
      <c r="A8" s="118" t="s">
        <v>170</v>
      </c>
      <c r="B8" s="119" t="s">
        <v>171</v>
      </c>
      <c r="C8" s="120">
        <f>6157907+376+5418+39720</f>
        <v>6203421</v>
      </c>
      <c r="D8" s="267"/>
      <c r="E8" s="50"/>
      <c r="F8" s="27"/>
      <c r="G8" s="27"/>
      <c r="H8" s="35">
        <v>94879</v>
      </c>
      <c r="I8" s="121">
        <v>55249</v>
      </c>
      <c r="J8" s="35">
        <v>74408</v>
      </c>
      <c r="K8" s="121">
        <f>79967</f>
        <v>79967</v>
      </c>
      <c r="L8" s="35">
        <f>53477+39789</f>
        <v>93266</v>
      </c>
      <c r="M8" s="35">
        <v>47111</v>
      </c>
      <c r="N8" s="35">
        <v>52919</v>
      </c>
      <c r="O8" s="35">
        <v>94244</v>
      </c>
      <c r="P8" s="122"/>
      <c r="Q8" s="123">
        <f t="shared" si="1"/>
        <v>6795464</v>
      </c>
    </row>
    <row r="9" spans="1:17" ht="29.25">
      <c r="A9" s="124" t="s">
        <v>394</v>
      </c>
      <c r="B9" s="119" t="s">
        <v>371</v>
      </c>
      <c r="C9" s="120">
        <f>144825+35960</f>
        <v>180785</v>
      </c>
      <c r="D9" s="50"/>
      <c r="E9" s="26"/>
      <c r="F9" s="26"/>
      <c r="G9" s="26"/>
      <c r="H9" s="86"/>
      <c r="I9" s="169"/>
      <c r="J9" s="86"/>
      <c r="K9" s="122"/>
      <c r="L9" s="120"/>
      <c r="M9" s="120"/>
      <c r="N9" s="86"/>
      <c r="O9" s="122"/>
      <c r="P9" s="91"/>
      <c r="Q9" s="126">
        <f t="shared" si="1"/>
        <v>180785</v>
      </c>
    </row>
    <row r="10" spans="1:17" ht="29.25">
      <c r="A10" s="124" t="s">
        <v>312</v>
      </c>
      <c r="B10" s="119" t="s">
        <v>357</v>
      </c>
      <c r="C10" s="120"/>
      <c r="D10" s="50"/>
      <c r="E10" s="26"/>
      <c r="F10" s="26"/>
      <c r="G10" s="26"/>
      <c r="H10" s="86"/>
      <c r="I10" s="86"/>
      <c r="J10" s="86"/>
      <c r="K10" s="122"/>
      <c r="L10" s="120"/>
      <c r="M10" s="120"/>
      <c r="N10" s="34"/>
      <c r="O10" s="122"/>
      <c r="P10" s="91"/>
      <c r="Q10" s="126">
        <f t="shared" si="1"/>
        <v>0</v>
      </c>
    </row>
    <row r="11" spans="1:17" ht="15">
      <c r="A11" s="125" t="s">
        <v>51</v>
      </c>
      <c r="B11" s="88" t="s">
        <v>52</v>
      </c>
      <c r="C11" s="91">
        <f>SUM(C12:C12)</f>
        <v>2647928</v>
      </c>
      <c r="D11" s="91">
        <f>SUM(D12:D12)</f>
        <v>0</v>
      </c>
      <c r="E11" s="91">
        <f>SUM(E12:E12)</f>
        <v>0</v>
      </c>
      <c r="F11" s="91">
        <f>SUM(F12:F12)</f>
        <v>0</v>
      </c>
      <c r="G11" s="91">
        <f>SUM(G12:G12)</f>
        <v>0</v>
      </c>
      <c r="H11" s="34">
        <f aca="true" t="shared" si="2" ref="H11:P11">SUM(H12:H12)</f>
        <v>0</v>
      </c>
      <c r="I11" s="34">
        <f t="shared" si="2"/>
        <v>0</v>
      </c>
      <c r="J11" s="34">
        <f t="shared" si="2"/>
        <v>0</v>
      </c>
      <c r="K11" s="91">
        <f t="shared" si="2"/>
        <v>0</v>
      </c>
      <c r="L11" s="91">
        <f t="shared" si="2"/>
        <v>0</v>
      </c>
      <c r="M11" s="91">
        <f t="shared" si="2"/>
        <v>0</v>
      </c>
      <c r="N11" s="91">
        <f t="shared" si="2"/>
        <v>0</v>
      </c>
      <c r="O11" s="91">
        <f t="shared" si="2"/>
        <v>0</v>
      </c>
      <c r="P11" s="91">
        <f t="shared" si="2"/>
        <v>0</v>
      </c>
      <c r="Q11" s="126">
        <f t="shared" si="1"/>
        <v>2647928</v>
      </c>
    </row>
    <row r="12" spans="1:17" ht="15" customHeight="1">
      <c r="A12" s="52" t="s">
        <v>53</v>
      </c>
      <c r="B12" s="25" t="s">
        <v>404</v>
      </c>
      <c r="C12" s="53">
        <f>124733+2642984-80000-39789</f>
        <v>2647928</v>
      </c>
      <c r="D12" s="18"/>
      <c r="E12" s="53"/>
      <c r="F12" s="53"/>
      <c r="G12" s="53"/>
      <c r="H12" s="18"/>
      <c r="I12" s="18"/>
      <c r="J12" s="18"/>
      <c r="K12" s="18"/>
      <c r="L12" s="18"/>
      <c r="M12" s="18"/>
      <c r="N12" s="18"/>
      <c r="O12" s="18"/>
      <c r="P12" s="53"/>
      <c r="Q12" s="126">
        <f t="shared" si="1"/>
        <v>2647928</v>
      </c>
    </row>
    <row r="13" spans="1:17" ht="29.25">
      <c r="A13" s="231" t="s">
        <v>397</v>
      </c>
      <c r="B13" s="127" t="s">
        <v>172</v>
      </c>
      <c r="C13" s="53">
        <f>273380+42754</f>
        <v>316134</v>
      </c>
      <c r="D13" s="18"/>
      <c r="E13" s="53"/>
      <c r="F13" s="53"/>
      <c r="G13" s="53"/>
      <c r="H13" s="18"/>
      <c r="I13" s="18"/>
      <c r="J13" s="18"/>
      <c r="K13" s="53"/>
      <c r="L13" s="53"/>
      <c r="M13" s="53"/>
      <c r="N13" s="53"/>
      <c r="O13" s="53"/>
      <c r="P13" s="53"/>
      <c r="Q13" s="126">
        <f t="shared" si="1"/>
        <v>316134</v>
      </c>
    </row>
    <row r="14" spans="1:17" ht="29.25">
      <c r="A14" s="125" t="s">
        <v>54</v>
      </c>
      <c r="B14" s="127" t="s">
        <v>55</v>
      </c>
      <c r="C14" s="91">
        <f aca="true" t="shared" si="3" ref="C14:P14">SUM(C15:C15)</f>
        <v>790000</v>
      </c>
      <c r="D14" s="91">
        <f t="shared" si="3"/>
        <v>0</v>
      </c>
      <c r="E14" s="91">
        <f t="shared" si="3"/>
        <v>0</v>
      </c>
      <c r="F14" s="91">
        <f t="shared" si="3"/>
        <v>0</v>
      </c>
      <c r="G14" s="91">
        <f t="shared" si="3"/>
        <v>0</v>
      </c>
      <c r="H14" s="91">
        <f t="shared" si="3"/>
        <v>0</v>
      </c>
      <c r="I14" s="91">
        <f t="shared" si="3"/>
        <v>0</v>
      </c>
      <c r="J14" s="91">
        <f t="shared" si="3"/>
        <v>0</v>
      </c>
      <c r="K14" s="91">
        <f t="shared" si="3"/>
        <v>0</v>
      </c>
      <c r="L14" s="91">
        <f t="shared" si="3"/>
        <v>0</v>
      </c>
      <c r="M14" s="91">
        <f t="shared" si="3"/>
        <v>0</v>
      </c>
      <c r="N14" s="91">
        <f t="shared" si="3"/>
        <v>0</v>
      </c>
      <c r="O14" s="91">
        <f t="shared" si="3"/>
        <v>0</v>
      </c>
      <c r="P14" s="91">
        <f t="shared" si="3"/>
        <v>0</v>
      </c>
      <c r="Q14" s="126">
        <f t="shared" si="1"/>
        <v>790000</v>
      </c>
    </row>
    <row r="15" spans="1:17" ht="15">
      <c r="A15" s="128" t="s">
        <v>270</v>
      </c>
      <c r="B15" s="25" t="s">
        <v>405</v>
      </c>
      <c r="C15" s="129">
        <v>790000</v>
      </c>
      <c r="D15" s="18"/>
      <c r="E15" s="53"/>
      <c r="F15" s="53"/>
      <c r="G15" s="53"/>
      <c r="H15" s="18"/>
      <c r="I15" s="18"/>
      <c r="J15" s="18"/>
      <c r="K15" s="18"/>
      <c r="L15" s="18"/>
      <c r="M15" s="18"/>
      <c r="N15" s="18"/>
      <c r="O15" s="53"/>
      <c r="P15" s="53"/>
      <c r="Q15" s="126">
        <f t="shared" si="1"/>
        <v>790000</v>
      </c>
    </row>
    <row r="16" spans="1:17" s="184" customFormat="1" ht="15" thickBot="1">
      <c r="A16" s="130" t="s">
        <v>56</v>
      </c>
      <c r="B16" s="131" t="s">
        <v>173</v>
      </c>
      <c r="C16" s="133">
        <f>1110000-1011808-98137-55</f>
        <v>0</v>
      </c>
      <c r="D16" s="134"/>
      <c r="E16" s="132"/>
      <c r="F16" s="132"/>
      <c r="G16" s="132"/>
      <c r="H16" s="135"/>
      <c r="I16" s="134"/>
      <c r="J16" s="134"/>
      <c r="K16" s="134"/>
      <c r="L16" s="134"/>
      <c r="M16" s="134"/>
      <c r="N16" s="134"/>
      <c r="O16" s="135"/>
      <c r="P16" s="173"/>
      <c r="Q16" s="136">
        <f t="shared" si="1"/>
        <v>0</v>
      </c>
    </row>
    <row r="17" spans="1:17" ht="15.75" thickBot="1">
      <c r="A17" s="80" t="s">
        <v>57</v>
      </c>
      <c r="B17" s="44" t="s">
        <v>58</v>
      </c>
      <c r="C17" s="46">
        <f aca="true" t="shared" si="4" ref="C17:P17">SUM(C18:C19,C21:C22)</f>
        <v>1889441</v>
      </c>
      <c r="D17" s="46">
        <f t="shared" si="4"/>
        <v>0</v>
      </c>
      <c r="E17" s="46">
        <f t="shared" si="4"/>
        <v>0</v>
      </c>
      <c r="F17" s="46">
        <f t="shared" si="4"/>
        <v>0</v>
      </c>
      <c r="G17" s="46">
        <f t="shared" si="4"/>
        <v>0</v>
      </c>
      <c r="H17" s="46">
        <f t="shared" si="4"/>
        <v>1134</v>
      </c>
      <c r="I17" s="46">
        <f t="shared" si="4"/>
        <v>0</v>
      </c>
      <c r="J17" s="46">
        <f t="shared" si="4"/>
        <v>271</v>
      </c>
      <c r="K17" s="46">
        <f t="shared" si="4"/>
        <v>2720</v>
      </c>
      <c r="L17" s="46">
        <f t="shared" si="4"/>
        <v>0</v>
      </c>
      <c r="M17" s="46">
        <f t="shared" si="4"/>
        <v>0</v>
      </c>
      <c r="N17" s="46">
        <f t="shared" si="4"/>
        <v>0</v>
      </c>
      <c r="O17" s="46">
        <f t="shared" si="4"/>
        <v>246</v>
      </c>
      <c r="P17" s="46">
        <f t="shared" si="4"/>
        <v>0</v>
      </c>
      <c r="Q17" s="47">
        <f t="shared" si="1"/>
        <v>1893812</v>
      </c>
    </row>
    <row r="18" spans="1:17" ht="15">
      <c r="A18" s="124">
        <v>3.1101</v>
      </c>
      <c r="B18" s="119" t="s">
        <v>18</v>
      </c>
      <c r="C18" s="137">
        <f>1741459-21780-14520-6960</f>
        <v>1698199</v>
      </c>
      <c r="D18" s="50"/>
      <c r="E18" s="26"/>
      <c r="F18" s="26"/>
      <c r="G18" s="26"/>
      <c r="H18" s="50"/>
      <c r="I18" s="50"/>
      <c r="J18" s="50"/>
      <c r="K18" s="50"/>
      <c r="L18" s="50"/>
      <c r="M18" s="50"/>
      <c r="N18" s="50"/>
      <c r="O18" s="26"/>
      <c r="P18" s="75"/>
      <c r="Q18" s="123">
        <f t="shared" si="1"/>
        <v>1698199</v>
      </c>
    </row>
    <row r="19" spans="1:17" ht="29.25">
      <c r="A19" s="125" t="s">
        <v>239</v>
      </c>
      <c r="B19" s="138" t="s">
        <v>240</v>
      </c>
      <c r="C19" s="91">
        <f aca="true" t="shared" si="5" ref="C19:P19">SUM(C20:C20)</f>
        <v>73992</v>
      </c>
      <c r="D19" s="91">
        <f t="shared" si="5"/>
        <v>0</v>
      </c>
      <c r="E19" s="91"/>
      <c r="F19" s="91">
        <f t="shared" si="5"/>
        <v>0</v>
      </c>
      <c r="G19" s="91">
        <f t="shared" si="5"/>
        <v>0</v>
      </c>
      <c r="H19" s="91">
        <f t="shared" si="5"/>
        <v>0</v>
      </c>
      <c r="I19" s="91">
        <f t="shared" si="5"/>
        <v>0</v>
      </c>
      <c r="J19" s="91">
        <f t="shared" si="5"/>
        <v>0</v>
      </c>
      <c r="K19" s="91">
        <f t="shared" si="5"/>
        <v>0</v>
      </c>
      <c r="L19" s="91">
        <f t="shared" si="5"/>
        <v>0</v>
      </c>
      <c r="M19" s="91">
        <f t="shared" si="5"/>
        <v>0</v>
      </c>
      <c r="N19" s="91">
        <f t="shared" si="5"/>
        <v>0</v>
      </c>
      <c r="O19" s="91">
        <f t="shared" si="5"/>
        <v>0</v>
      </c>
      <c r="P19" s="91">
        <f t="shared" si="5"/>
        <v>0</v>
      </c>
      <c r="Q19" s="126">
        <f t="shared" si="1"/>
        <v>73992</v>
      </c>
    </row>
    <row r="20" spans="1:17" ht="30">
      <c r="A20" s="52" t="s">
        <v>271</v>
      </c>
      <c r="B20" s="139" t="s">
        <v>354</v>
      </c>
      <c r="C20" s="129">
        <v>73992</v>
      </c>
      <c r="D20" s="18"/>
      <c r="E20" s="53"/>
      <c r="F20" s="53"/>
      <c r="G20" s="53"/>
      <c r="H20" s="18"/>
      <c r="I20" s="18"/>
      <c r="J20" s="18"/>
      <c r="K20" s="18"/>
      <c r="L20" s="18"/>
      <c r="M20" s="18"/>
      <c r="N20" s="18"/>
      <c r="O20" s="53"/>
      <c r="P20" s="53"/>
      <c r="Q20" s="126">
        <f t="shared" si="1"/>
        <v>73992</v>
      </c>
    </row>
    <row r="21" spans="1:17" s="184" customFormat="1" ht="28.5">
      <c r="A21" s="215" t="s">
        <v>624</v>
      </c>
      <c r="B21" s="88" t="s">
        <v>617</v>
      </c>
      <c r="C21" s="34">
        <v>30130</v>
      </c>
      <c r="D21" s="34"/>
      <c r="E21" s="91"/>
      <c r="F21" s="91"/>
      <c r="G21" s="91"/>
      <c r="H21" s="34">
        <v>1134</v>
      </c>
      <c r="I21" s="34"/>
      <c r="J21" s="34">
        <v>271</v>
      </c>
      <c r="K21" s="34">
        <v>2720</v>
      </c>
      <c r="L21" s="34"/>
      <c r="M21" s="34"/>
      <c r="N21" s="34"/>
      <c r="O21" s="91">
        <v>246</v>
      </c>
      <c r="P21" s="91"/>
      <c r="Q21" s="126">
        <f t="shared" si="1"/>
        <v>34501</v>
      </c>
    </row>
    <row r="22" spans="1:17" s="184" customFormat="1" ht="15" thickBot="1">
      <c r="A22" s="236" t="s">
        <v>295</v>
      </c>
      <c r="B22" s="140" t="s">
        <v>296</v>
      </c>
      <c r="C22" s="141">
        <f>43560+21780+14520+7260</f>
        <v>87120</v>
      </c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73"/>
      <c r="Q22" s="136">
        <f t="shared" si="1"/>
        <v>87120</v>
      </c>
    </row>
    <row r="23" spans="1:17" ht="15.75" thickBot="1">
      <c r="A23" s="80" t="s">
        <v>1</v>
      </c>
      <c r="B23" s="44" t="s">
        <v>59</v>
      </c>
      <c r="C23" s="237">
        <f>SUM(C24,C30,C32:C34,C62,C64,C65,C66)</f>
        <v>6138289</v>
      </c>
      <c r="D23" s="237">
        <f aca="true" t="shared" si="6" ref="D23:P23">SUM(D24,D30,D32:D34,D62,D64,D65,D66)</f>
        <v>109994</v>
      </c>
      <c r="E23" s="237">
        <f t="shared" si="6"/>
        <v>0</v>
      </c>
      <c r="F23" s="237">
        <f t="shared" si="6"/>
        <v>0</v>
      </c>
      <c r="G23" s="237">
        <f t="shared" si="6"/>
        <v>0</v>
      </c>
      <c r="H23" s="237">
        <f t="shared" si="6"/>
        <v>121895</v>
      </c>
      <c r="I23" s="237">
        <f t="shared" si="6"/>
        <v>51720</v>
      </c>
      <c r="J23" s="237">
        <f t="shared" si="6"/>
        <v>49562</v>
      </c>
      <c r="K23" s="237">
        <f t="shared" si="6"/>
        <v>128123</v>
      </c>
      <c r="L23" s="237">
        <f t="shared" si="6"/>
        <v>10482</v>
      </c>
      <c r="M23" s="237">
        <f t="shared" si="6"/>
        <v>19966</v>
      </c>
      <c r="N23" s="237">
        <f t="shared" si="6"/>
        <v>21177</v>
      </c>
      <c r="O23" s="237">
        <f t="shared" si="6"/>
        <v>33305</v>
      </c>
      <c r="P23" s="237">
        <f t="shared" si="6"/>
        <v>613413</v>
      </c>
      <c r="Q23" s="238">
        <f>SUM(Q24,Q30,Q32:Q34,Q62,Q64,Q65,Q66)</f>
        <v>7297926</v>
      </c>
    </row>
    <row r="24" spans="1:17" ht="15">
      <c r="A24" s="118" t="s">
        <v>60</v>
      </c>
      <c r="B24" s="86" t="s">
        <v>61</v>
      </c>
      <c r="C24" s="120">
        <f aca="true" t="shared" si="7" ref="C24:P24">SUM(C25:C29)</f>
        <v>400414</v>
      </c>
      <c r="D24" s="120">
        <f t="shared" si="7"/>
        <v>0</v>
      </c>
      <c r="E24" s="120">
        <f t="shared" si="7"/>
        <v>0</v>
      </c>
      <c r="F24" s="120">
        <f t="shared" si="7"/>
        <v>0</v>
      </c>
      <c r="G24" s="120">
        <f t="shared" si="7"/>
        <v>0</v>
      </c>
      <c r="H24" s="86">
        <f t="shared" si="7"/>
        <v>0</v>
      </c>
      <c r="I24" s="120">
        <f t="shared" si="7"/>
        <v>0</v>
      </c>
      <c r="J24" s="120">
        <f t="shared" si="7"/>
        <v>1864</v>
      </c>
      <c r="K24" s="120">
        <f t="shared" si="7"/>
        <v>0</v>
      </c>
      <c r="L24" s="120">
        <f t="shared" si="7"/>
        <v>0</v>
      </c>
      <c r="M24" s="120">
        <f t="shared" si="7"/>
        <v>0</v>
      </c>
      <c r="N24" s="120">
        <f t="shared" si="7"/>
        <v>0</v>
      </c>
      <c r="O24" s="120">
        <f t="shared" si="7"/>
        <v>0</v>
      </c>
      <c r="P24" s="120">
        <f t="shared" si="7"/>
        <v>0</v>
      </c>
      <c r="Q24" s="123">
        <f>SUM(C24:P24)</f>
        <v>402278</v>
      </c>
    </row>
    <row r="25" spans="1:17" ht="15">
      <c r="A25" s="142" t="s">
        <v>174</v>
      </c>
      <c r="B25" s="50" t="s">
        <v>175</v>
      </c>
      <c r="C25" s="137">
        <f>28000+19474-12582</f>
        <v>34892</v>
      </c>
      <c r="D25" s="50"/>
      <c r="E25" s="26"/>
      <c r="F25" s="26"/>
      <c r="G25" s="26"/>
      <c r="H25" s="50"/>
      <c r="I25" s="50"/>
      <c r="J25" s="50">
        <v>1864</v>
      </c>
      <c r="K25" s="50"/>
      <c r="L25" s="50"/>
      <c r="M25" s="50"/>
      <c r="N25" s="50"/>
      <c r="O25" s="26"/>
      <c r="P25" s="53"/>
      <c r="Q25" s="126">
        <f aca="true" t="shared" si="8" ref="Q25:Q31">SUM(C25:P25)</f>
        <v>36756</v>
      </c>
    </row>
    <row r="26" spans="1:17" ht="30">
      <c r="A26" s="142" t="s">
        <v>272</v>
      </c>
      <c r="B26" s="36" t="s">
        <v>313</v>
      </c>
      <c r="C26" s="26">
        <f>70000+6119</f>
        <v>76119</v>
      </c>
      <c r="D26" s="50"/>
      <c r="E26" s="26"/>
      <c r="F26" s="26"/>
      <c r="G26" s="26"/>
      <c r="H26" s="50"/>
      <c r="I26" s="50"/>
      <c r="J26" s="50"/>
      <c r="K26" s="50"/>
      <c r="L26" s="50"/>
      <c r="M26" s="50"/>
      <c r="N26" s="50"/>
      <c r="O26" s="26"/>
      <c r="P26" s="53"/>
      <c r="Q26" s="126">
        <f t="shared" si="8"/>
        <v>76119</v>
      </c>
    </row>
    <row r="27" spans="1:17" ht="15">
      <c r="A27" s="142" t="s">
        <v>273</v>
      </c>
      <c r="B27" s="143" t="s">
        <v>263</v>
      </c>
      <c r="C27" s="137">
        <v>5000</v>
      </c>
      <c r="D27" s="50"/>
      <c r="E27" s="26"/>
      <c r="F27" s="26"/>
      <c r="G27" s="26"/>
      <c r="H27" s="50"/>
      <c r="I27" s="50"/>
      <c r="J27" s="50"/>
      <c r="K27" s="50"/>
      <c r="L27" s="50"/>
      <c r="M27" s="50"/>
      <c r="N27" s="50"/>
      <c r="O27" s="26"/>
      <c r="P27" s="53"/>
      <c r="Q27" s="126">
        <f t="shared" si="8"/>
        <v>5000</v>
      </c>
    </row>
    <row r="28" spans="1:17" ht="15">
      <c r="A28" s="142" t="s">
        <v>406</v>
      </c>
      <c r="B28" s="241" t="s">
        <v>407</v>
      </c>
      <c r="C28" s="137">
        <v>133853</v>
      </c>
      <c r="D28" s="50"/>
      <c r="E28" s="26"/>
      <c r="F28" s="26"/>
      <c r="G28" s="26"/>
      <c r="H28" s="50"/>
      <c r="I28" s="50"/>
      <c r="J28" s="50"/>
      <c r="K28" s="50"/>
      <c r="L28" s="50"/>
      <c r="M28" s="50"/>
      <c r="N28" s="50"/>
      <c r="O28" s="26"/>
      <c r="P28" s="53"/>
      <c r="Q28" s="126">
        <f t="shared" si="8"/>
        <v>133853</v>
      </c>
    </row>
    <row r="29" spans="1:17" ht="15">
      <c r="A29" s="13" t="s">
        <v>297</v>
      </c>
      <c r="B29" s="6" t="s">
        <v>298</v>
      </c>
      <c r="C29" s="26">
        <f>150000+550</f>
        <v>150550</v>
      </c>
      <c r="D29" s="50"/>
      <c r="E29" s="26"/>
      <c r="F29" s="26"/>
      <c r="G29" s="26"/>
      <c r="H29" s="50"/>
      <c r="I29" s="50"/>
      <c r="J29" s="50"/>
      <c r="K29" s="50"/>
      <c r="L29" s="50"/>
      <c r="M29" s="50"/>
      <c r="N29" s="50"/>
      <c r="O29" s="26"/>
      <c r="P29" s="53"/>
      <c r="Q29" s="126">
        <f t="shared" si="8"/>
        <v>150550</v>
      </c>
    </row>
    <row r="30" spans="1:17" ht="15">
      <c r="A30" s="125" t="s">
        <v>62</v>
      </c>
      <c r="B30" s="88" t="s">
        <v>176</v>
      </c>
      <c r="C30" s="91">
        <f aca="true" t="shared" si="9" ref="C30:P30">SUM(C31:C31)</f>
        <v>0</v>
      </c>
      <c r="D30" s="91">
        <f t="shared" si="9"/>
        <v>0</v>
      </c>
      <c r="E30" s="91">
        <f t="shared" si="9"/>
        <v>0</v>
      </c>
      <c r="F30" s="91">
        <f t="shared" si="9"/>
        <v>0</v>
      </c>
      <c r="G30" s="91">
        <f t="shared" si="9"/>
        <v>0</v>
      </c>
      <c r="H30" s="91">
        <f t="shared" si="9"/>
        <v>0</v>
      </c>
      <c r="I30" s="91">
        <f t="shared" si="9"/>
        <v>0</v>
      </c>
      <c r="J30" s="91">
        <f t="shared" si="9"/>
        <v>0</v>
      </c>
      <c r="K30" s="91">
        <f t="shared" si="9"/>
        <v>0</v>
      </c>
      <c r="L30" s="91">
        <f t="shared" si="9"/>
        <v>0</v>
      </c>
      <c r="M30" s="91">
        <f t="shared" si="9"/>
        <v>0</v>
      </c>
      <c r="N30" s="91">
        <f t="shared" si="9"/>
        <v>0</v>
      </c>
      <c r="O30" s="91">
        <f t="shared" si="9"/>
        <v>0</v>
      </c>
      <c r="P30" s="91">
        <f t="shared" si="9"/>
        <v>0</v>
      </c>
      <c r="Q30" s="126">
        <f t="shared" si="8"/>
        <v>0</v>
      </c>
    </row>
    <row r="31" spans="1:17" ht="15">
      <c r="A31" s="142"/>
      <c r="B31" s="199"/>
      <c r="C31" s="242"/>
      <c r="D31" s="34"/>
      <c r="E31" s="91"/>
      <c r="F31" s="91"/>
      <c r="G31" s="91"/>
      <c r="H31" s="18"/>
      <c r="I31" s="18"/>
      <c r="J31" s="18"/>
      <c r="K31" s="18"/>
      <c r="L31" s="18"/>
      <c r="M31" s="18"/>
      <c r="N31" s="18"/>
      <c r="O31" s="53"/>
      <c r="P31" s="53"/>
      <c r="Q31" s="126">
        <f t="shared" si="8"/>
        <v>0</v>
      </c>
    </row>
    <row r="32" spans="1:17" ht="15">
      <c r="A32" s="118" t="s">
        <v>63</v>
      </c>
      <c r="B32" s="119" t="s">
        <v>64</v>
      </c>
      <c r="C32" s="234"/>
      <c r="D32" s="18"/>
      <c r="E32" s="53"/>
      <c r="F32" s="53"/>
      <c r="G32" s="53"/>
      <c r="H32" s="18"/>
      <c r="I32" s="18"/>
      <c r="J32" s="18"/>
      <c r="K32" s="18"/>
      <c r="L32" s="18">
        <v>138</v>
      </c>
      <c r="M32" s="18"/>
      <c r="N32" s="18"/>
      <c r="O32" s="53"/>
      <c r="P32" s="53"/>
      <c r="Q32" s="126">
        <f>SUM(C32:P32)</f>
        <v>138</v>
      </c>
    </row>
    <row r="33" spans="1:17" ht="15">
      <c r="A33" s="118" t="s">
        <v>274</v>
      </c>
      <c r="B33" s="119" t="s">
        <v>125</v>
      </c>
      <c r="C33" s="120">
        <v>718775</v>
      </c>
      <c r="D33" s="18"/>
      <c r="E33" s="53"/>
      <c r="F33" s="53"/>
      <c r="G33" s="53"/>
      <c r="H33" s="18"/>
      <c r="I33" s="18"/>
      <c r="J33" s="18"/>
      <c r="K33" s="18"/>
      <c r="L33" s="53"/>
      <c r="M33" s="53"/>
      <c r="N33" s="53"/>
      <c r="O33" s="53"/>
      <c r="P33" s="53"/>
      <c r="Q33" s="126">
        <f>SUM(C33:P33)</f>
        <v>718775</v>
      </c>
    </row>
    <row r="34" spans="1:17" ht="15">
      <c r="A34" s="125" t="s">
        <v>65</v>
      </c>
      <c r="B34" s="88" t="s">
        <v>66</v>
      </c>
      <c r="C34" s="91">
        <f aca="true" t="shared" si="10" ref="C34:Q34">SUM(C35:C61)</f>
        <v>4727920</v>
      </c>
      <c r="D34" s="91">
        <f t="shared" si="10"/>
        <v>109994</v>
      </c>
      <c r="E34" s="91">
        <f t="shared" si="10"/>
        <v>0</v>
      </c>
      <c r="F34" s="91">
        <f t="shared" si="10"/>
        <v>0</v>
      </c>
      <c r="G34" s="91">
        <f t="shared" si="10"/>
        <v>0</v>
      </c>
      <c r="H34" s="91">
        <f t="shared" si="10"/>
        <v>121895</v>
      </c>
      <c r="I34" s="91">
        <f t="shared" si="10"/>
        <v>51720</v>
      </c>
      <c r="J34" s="91">
        <f t="shared" si="10"/>
        <v>47698</v>
      </c>
      <c r="K34" s="91">
        <f t="shared" si="10"/>
        <v>128123</v>
      </c>
      <c r="L34" s="91">
        <f t="shared" si="10"/>
        <v>10344</v>
      </c>
      <c r="M34" s="91">
        <f t="shared" si="10"/>
        <v>19966</v>
      </c>
      <c r="N34" s="91">
        <f t="shared" si="10"/>
        <v>21177</v>
      </c>
      <c r="O34" s="91">
        <f t="shared" si="10"/>
        <v>33305</v>
      </c>
      <c r="P34" s="91">
        <f t="shared" si="10"/>
        <v>0</v>
      </c>
      <c r="Q34" s="225">
        <f t="shared" si="10"/>
        <v>5272142</v>
      </c>
    </row>
    <row r="35" spans="1:17" ht="15">
      <c r="A35" s="145" t="s">
        <v>288</v>
      </c>
      <c r="B35" s="25" t="s">
        <v>408</v>
      </c>
      <c r="C35" s="129">
        <f>629266+500000+18310+156572</f>
        <v>1304148</v>
      </c>
      <c r="D35" s="18"/>
      <c r="E35" s="53"/>
      <c r="F35" s="53"/>
      <c r="G35" s="53"/>
      <c r="H35" s="18">
        <v>121895</v>
      </c>
      <c r="I35" s="18">
        <v>39395</v>
      </c>
      <c r="J35" s="279">
        <v>38549</v>
      </c>
      <c r="K35" s="18">
        <v>59444</v>
      </c>
      <c r="L35" s="18">
        <v>10344</v>
      </c>
      <c r="M35" s="18">
        <v>19966</v>
      </c>
      <c r="N35" s="200">
        <v>21177</v>
      </c>
      <c r="O35" s="268">
        <v>7882</v>
      </c>
      <c r="P35" s="53"/>
      <c r="Q35" s="126">
        <f>SUM(C35:P35)</f>
        <v>1622800</v>
      </c>
    </row>
    <row r="36" spans="1:17" ht="15">
      <c r="A36" s="145" t="s">
        <v>409</v>
      </c>
      <c r="B36" s="243" t="s">
        <v>643</v>
      </c>
      <c r="C36" s="9">
        <f>96093+19550</f>
        <v>115643</v>
      </c>
      <c r="D36" s="18"/>
      <c r="E36" s="203"/>
      <c r="F36" s="53"/>
      <c r="G36" s="53"/>
      <c r="H36" s="18"/>
      <c r="I36" s="18"/>
      <c r="J36" s="18"/>
      <c r="K36" s="18"/>
      <c r="L36" s="18"/>
      <c r="M36" s="18"/>
      <c r="N36" s="200"/>
      <c r="O36" s="269"/>
      <c r="P36" s="53"/>
      <c r="Q36" s="126">
        <f aca="true" t="shared" si="11" ref="Q36:Q109">SUM(C36:P36)</f>
        <v>115643</v>
      </c>
    </row>
    <row r="37" spans="1:17" ht="30">
      <c r="A37" s="145" t="s">
        <v>410</v>
      </c>
      <c r="B37" s="243" t="s">
        <v>411</v>
      </c>
      <c r="C37" s="18">
        <f>113054</f>
        <v>113054</v>
      </c>
      <c r="D37" s="18"/>
      <c r="E37" s="203"/>
      <c r="F37" s="53"/>
      <c r="G37" s="53"/>
      <c r="H37" s="18"/>
      <c r="I37" s="18"/>
      <c r="J37" s="18"/>
      <c r="K37" s="18"/>
      <c r="L37" s="18"/>
      <c r="M37" s="18"/>
      <c r="N37" s="200"/>
      <c r="O37" s="269"/>
      <c r="P37" s="53"/>
      <c r="Q37" s="126">
        <f t="shared" si="11"/>
        <v>113054</v>
      </c>
    </row>
    <row r="38" spans="1:17" ht="15">
      <c r="A38" s="145" t="s">
        <v>412</v>
      </c>
      <c r="B38" s="17" t="s">
        <v>413</v>
      </c>
      <c r="C38" s="9">
        <f>204391+55115+10331</f>
        <v>269837</v>
      </c>
      <c r="D38" s="18"/>
      <c r="E38" s="19"/>
      <c r="F38" s="53"/>
      <c r="G38" s="53"/>
      <c r="H38" s="18"/>
      <c r="I38" s="18"/>
      <c r="J38" s="18"/>
      <c r="K38" s="18"/>
      <c r="L38" s="18"/>
      <c r="M38" s="18"/>
      <c r="N38" s="200"/>
      <c r="O38" s="269"/>
      <c r="P38" s="53"/>
      <c r="Q38" s="126">
        <f t="shared" si="11"/>
        <v>269837</v>
      </c>
    </row>
    <row r="39" spans="1:17" ht="30">
      <c r="A39" s="145" t="s">
        <v>414</v>
      </c>
      <c r="B39" s="243" t="s">
        <v>415</v>
      </c>
      <c r="C39" s="9">
        <f>60788+29955+2000</f>
        <v>92743</v>
      </c>
      <c r="D39" s="18"/>
      <c r="E39" s="203"/>
      <c r="F39" s="53"/>
      <c r="G39" s="53"/>
      <c r="H39" s="18"/>
      <c r="I39" s="18"/>
      <c r="J39" s="18"/>
      <c r="K39" s="18"/>
      <c r="L39" s="18"/>
      <c r="M39" s="18"/>
      <c r="N39" s="200"/>
      <c r="O39" s="269"/>
      <c r="P39" s="53"/>
      <c r="Q39" s="126">
        <f t="shared" si="11"/>
        <v>92743</v>
      </c>
    </row>
    <row r="40" spans="1:17" ht="30">
      <c r="A40" s="145" t="s">
        <v>416</v>
      </c>
      <c r="B40" s="243" t="s">
        <v>417</v>
      </c>
      <c r="C40" s="9">
        <f>83078+13600</f>
        <v>96678</v>
      </c>
      <c r="D40" s="18"/>
      <c r="E40" s="203"/>
      <c r="F40" s="53"/>
      <c r="G40" s="53"/>
      <c r="H40" s="18"/>
      <c r="I40" s="18"/>
      <c r="J40" s="18"/>
      <c r="K40" s="18"/>
      <c r="L40" s="18"/>
      <c r="M40" s="18"/>
      <c r="N40" s="200"/>
      <c r="O40" s="269"/>
      <c r="P40" s="53"/>
      <c r="Q40" s="126">
        <f t="shared" si="11"/>
        <v>96678</v>
      </c>
    </row>
    <row r="41" spans="1:17" ht="15">
      <c r="A41" s="145" t="s">
        <v>418</v>
      </c>
      <c r="B41" s="17" t="s">
        <v>419</v>
      </c>
      <c r="C41" s="9">
        <f>313866</f>
        <v>313866</v>
      </c>
      <c r="D41" s="18"/>
      <c r="E41" s="19"/>
      <c r="F41" s="53"/>
      <c r="G41" s="53"/>
      <c r="H41" s="18"/>
      <c r="I41" s="18"/>
      <c r="J41" s="18"/>
      <c r="K41" s="18"/>
      <c r="L41" s="18"/>
      <c r="M41" s="18"/>
      <c r="N41" s="200"/>
      <c r="O41" s="269"/>
      <c r="P41" s="53"/>
      <c r="Q41" s="126">
        <f t="shared" si="11"/>
        <v>313866</v>
      </c>
    </row>
    <row r="42" spans="1:17" ht="30">
      <c r="A42" s="145" t="s">
        <v>644</v>
      </c>
      <c r="B42" s="243" t="s">
        <v>645</v>
      </c>
      <c r="C42" s="129">
        <f>51028</f>
        <v>51028</v>
      </c>
      <c r="D42" s="18"/>
      <c r="E42" s="270"/>
      <c r="F42" s="53"/>
      <c r="G42" s="53"/>
      <c r="H42" s="18"/>
      <c r="I42" s="18"/>
      <c r="J42" s="18"/>
      <c r="K42" s="18"/>
      <c r="L42" s="18"/>
      <c r="M42" s="18"/>
      <c r="N42" s="200"/>
      <c r="O42" s="269"/>
      <c r="P42" s="53"/>
      <c r="Q42" s="126">
        <f t="shared" si="11"/>
        <v>51028</v>
      </c>
    </row>
    <row r="43" spans="1:17" ht="15" customHeight="1">
      <c r="A43" s="145" t="s">
        <v>646</v>
      </c>
      <c r="B43" s="243" t="s">
        <v>647</v>
      </c>
      <c r="C43" s="129">
        <f>82316</f>
        <v>82316</v>
      </c>
      <c r="D43" s="18"/>
      <c r="E43" s="270"/>
      <c r="F43" s="53"/>
      <c r="G43" s="53"/>
      <c r="H43" s="18"/>
      <c r="I43" s="18"/>
      <c r="J43" s="18"/>
      <c r="K43" s="18"/>
      <c r="L43" s="18"/>
      <c r="M43" s="18"/>
      <c r="N43" s="200"/>
      <c r="O43" s="269"/>
      <c r="P43" s="53"/>
      <c r="Q43" s="126">
        <f>SUM(C43:P43)</f>
        <v>82316</v>
      </c>
    </row>
    <row r="44" spans="1:17" ht="15">
      <c r="A44" s="145" t="s">
        <v>693</v>
      </c>
      <c r="B44" s="17" t="s">
        <v>694</v>
      </c>
      <c r="C44" s="129">
        <f>117519-2066</f>
        <v>115453</v>
      </c>
      <c r="D44" s="18"/>
      <c r="E44" s="270"/>
      <c r="F44" s="53"/>
      <c r="G44" s="53"/>
      <c r="H44" s="18"/>
      <c r="I44" s="18"/>
      <c r="J44" s="18"/>
      <c r="K44" s="18"/>
      <c r="L44" s="18"/>
      <c r="M44" s="18"/>
      <c r="N44" s="200"/>
      <c r="O44" s="269"/>
      <c r="P44" s="53"/>
      <c r="Q44" s="126">
        <f aca="true" t="shared" si="12" ref="Q44:Q51">SUM(C44:P44)</f>
        <v>115453</v>
      </c>
    </row>
    <row r="45" spans="1:17" ht="15">
      <c r="A45" s="145" t="s">
        <v>695</v>
      </c>
      <c r="B45" s="17" t="s">
        <v>696</v>
      </c>
      <c r="C45" s="129">
        <f>25079-8401</f>
        <v>16678</v>
      </c>
      <c r="D45" s="18"/>
      <c r="E45" s="270"/>
      <c r="F45" s="53"/>
      <c r="G45" s="53"/>
      <c r="H45" s="18"/>
      <c r="I45" s="18"/>
      <c r="J45" s="18"/>
      <c r="K45" s="18"/>
      <c r="L45" s="18"/>
      <c r="M45" s="18"/>
      <c r="N45" s="200"/>
      <c r="O45" s="269"/>
      <c r="P45" s="53"/>
      <c r="Q45" s="126">
        <f t="shared" si="12"/>
        <v>16678</v>
      </c>
    </row>
    <row r="46" spans="1:17" ht="15">
      <c r="A46" s="145" t="s">
        <v>697</v>
      </c>
      <c r="B46" s="17" t="s">
        <v>698</v>
      </c>
      <c r="C46" s="129">
        <f>20162+5756</f>
        <v>25918</v>
      </c>
      <c r="D46" s="18"/>
      <c r="E46" s="270"/>
      <c r="F46" s="53"/>
      <c r="G46" s="53"/>
      <c r="H46" s="18"/>
      <c r="I46" s="18"/>
      <c r="J46" s="18"/>
      <c r="K46" s="18"/>
      <c r="L46" s="18"/>
      <c r="M46" s="18"/>
      <c r="N46" s="200"/>
      <c r="O46" s="269"/>
      <c r="P46" s="53"/>
      <c r="Q46" s="126">
        <f t="shared" si="12"/>
        <v>25918</v>
      </c>
    </row>
    <row r="47" spans="1:17" ht="15">
      <c r="A47" s="145" t="s">
        <v>699</v>
      </c>
      <c r="B47" s="17" t="s">
        <v>700</v>
      </c>
      <c r="C47" s="129">
        <f>63482+11795</f>
        <v>75277</v>
      </c>
      <c r="D47" s="18"/>
      <c r="E47" s="270"/>
      <c r="F47" s="53"/>
      <c r="G47" s="53"/>
      <c r="H47" s="18"/>
      <c r="I47" s="18"/>
      <c r="J47" s="18"/>
      <c r="K47" s="18"/>
      <c r="L47" s="18"/>
      <c r="M47" s="18"/>
      <c r="N47" s="200"/>
      <c r="O47" s="269"/>
      <c r="P47" s="53"/>
      <c r="Q47" s="126">
        <f t="shared" si="12"/>
        <v>75277</v>
      </c>
    </row>
    <row r="48" spans="1:17" ht="15">
      <c r="A48" s="145" t="s">
        <v>701</v>
      </c>
      <c r="B48" s="17" t="s">
        <v>702</v>
      </c>
      <c r="C48" s="129">
        <v>34517</v>
      </c>
      <c r="D48" s="18"/>
      <c r="E48" s="270"/>
      <c r="F48" s="53"/>
      <c r="G48" s="53"/>
      <c r="H48" s="18"/>
      <c r="I48" s="18"/>
      <c r="J48" s="18"/>
      <c r="K48" s="18"/>
      <c r="L48" s="18"/>
      <c r="M48" s="18"/>
      <c r="N48" s="200"/>
      <c r="O48" s="269"/>
      <c r="P48" s="53"/>
      <c r="Q48" s="126">
        <f t="shared" si="12"/>
        <v>34517</v>
      </c>
    </row>
    <row r="49" spans="1:17" ht="15">
      <c r="A49" s="145" t="s">
        <v>703</v>
      </c>
      <c r="B49" s="17" t="s">
        <v>704</v>
      </c>
      <c r="C49" s="129">
        <v>24523</v>
      </c>
      <c r="D49" s="18"/>
      <c r="E49" s="270"/>
      <c r="F49" s="53"/>
      <c r="G49" s="53"/>
      <c r="H49" s="18"/>
      <c r="I49" s="18"/>
      <c r="J49" s="18"/>
      <c r="K49" s="18"/>
      <c r="L49" s="18"/>
      <c r="M49" s="18"/>
      <c r="N49" s="200"/>
      <c r="O49" s="269"/>
      <c r="P49" s="53"/>
      <c r="Q49" s="126">
        <f t="shared" si="12"/>
        <v>24523</v>
      </c>
    </row>
    <row r="50" spans="1:17" ht="15">
      <c r="A50" s="145" t="s">
        <v>705</v>
      </c>
      <c r="B50" s="17" t="s">
        <v>706</v>
      </c>
      <c r="C50" s="129">
        <v>13038</v>
      </c>
      <c r="D50" s="18"/>
      <c r="E50" s="270"/>
      <c r="F50" s="53"/>
      <c r="G50" s="53"/>
      <c r="H50" s="18"/>
      <c r="I50" s="18"/>
      <c r="J50" s="18"/>
      <c r="K50" s="18"/>
      <c r="L50" s="18"/>
      <c r="M50" s="18"/>
      <c r="N50" s="200"/>
      <c r="O50" s="269"/>
      <c r="P50" s="53"/>
      <c r="Q50" s="126">
        <f t="shared" si="12"/>
        <v>13038</v>
      </c>
    </row>
    <row r="51" spans="1:17" ht="15">
      <c r="A51" s="145" t="s">
        <v>707</v>
      </c>
      <c r="B51" s="17" t="s">
        <v>708</v>
      </c>
      <c r="C51" s="129">
        <f>25195+500</f>
        <v>25695</v>
      </c>
      <c r="D51" s="18"/>
      <c r="E51" s="270"/>
      <c r="F51" s="53"/>
      <c r="G51" s="53"/>
      <c r="H51" s="18"/>
      <c r="I51" s="18"/>
      <c r="J51" s="18"/>
      <c r="K51" s="18"/>
      <c r="L51" s="18"/>
      <c r="M51" s="18"/>
      <c r="N51" s="200"/>
      <c r="O51" s="269"/>
      <c r="P51" s="53"/>
      <c r="Q51" s="126">
        <f t="shared" si="12"/>
        <v>25695</v>
      </c>
    </row>
    <row r="52" spans="1:17" ht="15">
      <c r="A52" s="52" t="s">
        <v>177</v>
      </c>
      <c r="B52" s="146" t="s">
        <v>178</v>
      </c>
      <c r="C52" s="244"/>
      <c r="D52" s="18">
        <v>109994</v>
      </c>
      <c r="E52" s="53"/>
      <c r="F52" s="53"/>
      <c r="G52" s="53"/>
      <c r="H52" s="9"/>
      <c r="I52" s="9">
        <v>12325</v>
      </c>
      <c r="J52" s="9">
        <v>9149</v>
      </c>
      <c r="K52" s="18">
        <f>68680-1</f>
        <v>68679</v>
      </c>
      <c r="L52" s="18"/>
      <c r="M52" s="18"/>
      <c r="N52" s="18"/>
      <c r="O52" s="269">
        <v>25423</v>
      </c>
      <c r="P52" s="53"/>
      <c r="Q52" s="126">
        <f t="shared" si="11"/>
        <v>225570</v>
      </c>
    </row>
    <row r="53" spans="1:17" ht="15">
      <c r="A53" s="12" t="s">
        <v>402</v>
      </c>
      <c r="B53" s="7" t="s">
        <v>648</v>
      </c>
      <c r="C53" s="53">
        <v>33000</v>
      </c>
      <c r="D53" s="18"/>
      <c r="E53" s="53"/>
      <c r="F53" s="53"/>
      <c r="G53" s="53"/>
      <c r="H53" s="18"/>
      <c r="I53" s="18"/>
      <c r="J53" s="18"/>
      <c r="K53" s="53"/>
      <c r="L53" s="53"/>
      <c r="M53" s="53"/>
      <c r="N53" s="53"/>
      <c r="O53" s="53"/>
      <c r="P53" s="53"/>
      <c r="Q53" s="126">
        <f t="shared" si="11"/>
        <v>33000</v>
      </c>
    </row>
    <row r="54" spans="1:17" ht="45">
      <c r="A54" s="12" t="s">
        <v>420</v>
      </c>
      <c r="B54" s="7" t="s">
        <v>649</v>
      </c>
      <c r="C54" s="18">
        <f>671304+81921+4768</f>
        <v>757993</v>
      </c>
      <c r="D54" s="18"/>
      <c r="E54" s="53"/>
      <c r="F54" s="53"/>
      <c r="G54" s="53"/>
      <c r="H54" s="18"/>
      <c r="I54" s="18"/>
      <c r="J54" s="18"/>
      <c r="K54" s="53"/>
      <c r="L54" s="53"/>
      <c r="M54" s="53"/>
      <c r="N54" s="53"/>
      <c r="O54" s="53"/>
      <c r="P54" s="53"/>
      <c r="Q54" s="126">
        <f t="shared" si="11"/>
        <v>757993</v>
      </c>
    </row>
    <row r="55" spans="1:17" ht="45">
      <c r="A55" s="12" t="s">
        <v>421</v>
      </c>
      <c r="B55" s="7" t="s">
        <v>422</v>
      </c>
      <c r="C55" s="53">
        <v>21453</v>
      </c>
      <c r="D55" s="18"/>
      <c r="E55" s="53"/>
      <c r="F55" s="53"/>
      <c r="G55" s="53"/>
      <c r="H55" s="18"/>
      <c r="I55" s="18"/>
      <c r="J55" s="18"/>
      <c r="K55" s="53"/>
      <c r="L55" s="53"/>
      <c r="M55" s="53"/>
      <c r="N55" s="53"/>
      <c r="O55" s="53"/>
      <c r="P55" s="53"/>
      <c r="Q55" s="126">
        <f t="shared" si="11"/>
        <v>21453</v>
      </c>
    </row>
    <row r="56" spans="1:17" ht="45">
      <c r="A56" s="12" t="s">
        <v>423</v>
      </c>
      <c r="B56" s="7" t="s">
        <v>424</v>
      </c>
      <c r="C56" s="53">
        <v>587</v>
      </c>
      <c r="D56" s="18"/>
      <c r="E56" s="53"/>
      <c r="F56" s="53"/>
      <c r="G56" s="53"/>
      <c r="H56" s="18"/>
      <c r="I56" s="18"/>
      <c r="J56" s="18"/>
      <c r="K56" s="53"/>
      <c r="L56" s="53"/>
      <c r="M56" s="53"/>
      <c r="N56" s="53"/>
      <c r="O56" s="53"/>
      <c r="P56" s="53"/>
      <c r="Q56" s="126">
        <f t="shared" si="11"/>
        <v>587</v>
      </c>
    </row>
    <row r="57" spans="1:17" ht="15">
      <c r="A57" s="12" t="s">
        <v>425</v>
      </c>
      <c r="B57" s="7" t="s">
        <v>650</v>
      </c>
      <c r="C57" s="53">
        <f>80435+64129+10053</f>
        <v>154617</v>
      </c>
      <c r="D57" s="18"/>
      <c r="E57" s="53"/>
      <c r="F57" s="53"/>
      <c r="G57" s="53"/>
      <c r="H57" s="18"/>
      <c r="I57" s="18"/>
      <c r="J57" s="18"/>
      <c r="K57" s="53"/>
      <c r="L57" s="53"/>
      <c r="M57" s="53"/>
      <c r="N57" s="53"/>
      <c r="O57" s="53"/>
      <c r="P57" s="53"/>
      <c r="Q57" s="126">
        <f t="shared" si="11"/>
        <v>154617</v>
      </c>
    </row>
    <row r="58" spans="1:17" ht="30">
      <c r="A58" s="12" t="s">
        <v>426</v>
      </c>
      <c r="B58" s="7" t="s">
        <v>651</v>
      </c>
      <c r="C58" s="53">
        <v>890008</v>
      </c>
      <c r="D58" s="18"/>
      <c r="E58" s="53"/>
      <c r="F58" s="53"/>
      <c r="G58" s="53"/>
      <c r="H58" s="18"/>
      <c r="I58" s="18"/>
      <c r="J58" s="18"/>
      <c r="K58" s="53"/>
      <c r="L58" s="53"/>
      <c r="M58" s="53"/>
      <c r="N58" s="53"/>
      <c r="O58" s="53"/>
      <c r="P58" s="53"/>
      <c r="Q58" s="126">
        <f t="shared" si="11"/>
        <v>890008</v>
      </c>
    </row>
    <row r="59" spans="1:17" ht="30" customHeight="1">
      <c r="A59" s="12" t="s">
        <v>427</v>
      </c>
      <c r="B59" s="7" t="s">
        <v>428</v>
      </c>
      <c r="C59" s="53">
        <v>43282</v>
      </c>
      <c r="D59" s="18"/>
      <c r="E59" s="53"/>
      <c r="F59" s="53"/>
      <c r="G59" s="53"/>
      <c r="H59" s="18"/>
      <c r="I59" s="18"/>
      <c r="J59" s="18"/>
      <c r="K59" s="53"/>
      <c r="L59" s="53"/>
      <c r="M59" s="53"/>
      <c r="N59" s="53"/>
      <c r="O59" s="53"/>
      <c r="P59" s="53"/>
      <c r="Q59" s="126">
        <f t="shared" si="11"/>
        <v>43282</v>
      </c>
    </row>
    <row r="60" spans="1:17" ht="45">
      <c r="A60" s="12" t="s">
        <v>429</v>
      </c>
      <c r="B60" s="7" t="s">
        <v>430</v>
      </c>
      <c r="C60" s="53">
        <v>31279</v>
      </c>
      <c r="D60" s="18"/>
      <c r="E60" s="53"/>
      <c r="F60" s="53"/>
      <c r="G60" s="53"/>
      <c r="H60" s="18"/>
      <c r="I60" s="18"/>
      <c r="J60" s="18"/>
      <c r="K60" s="53"/>
      <c r="L60" s="53"/>
      <c r="M60" s="53"/>
      <c r="N60" s="53"/>
      <c r="O60" s="53"/>
      <c r="P60" s="53"/>
      <c r="Q60" s="126">
        <f t="shared" si="11"/>
        <v>31279</v>
      </c>
    </row>
    <row r="61" spans="1:17" ht="15">
      <c r="A61" s="12" t="s">
        <v>431</v>
      </c>
      <c r="B61" s="7" t="s">
        <v>432</v>
      </c>
      <c r="C61" s="18">
        <v>25289</v>
      </c>
      <c r="D61" s="18"/>
      <c r="E61" s="53"/>
      <c r="F61" s="53"/>
      <c r="G61" s="53"/>
      <c r="H61" s="18"/>
      <c r="I61" s="18"/>
      <c r="J61" s="18"/>
      <c r="K61" s="53"/>
      <c r="L61" s="53"/>
      <c r="M61" s="53"/>
      <c r="N61" s="53"/>
      <c r="O61" s="53"/>
      <c r="P61" s="53"/>
      <c r="Q61" s="126">
        <f t="shared" si="11"/>
        <v>25289</v>
      </c>
    </row>
    <row r="62" spans="1:17" ht="15">
      <c r="A62" s="125" t="s">
        <v>67</v>
      </c>
      <c r="B62" s="147" t="s">
        <v>68</v>
      </c>
      <c r="C62" s="91">
        <f aca="true" t="shared" si="13" ref="C62:P62">SUM(C63:C63)</f>
        <v>0</v>
      </c>
      <c r="D62" s="91">
        <f t="shared" si="13"/>
        <v>0</v>
      </c>
      <c r="E62" s="91">
        <f t="shared" si="13"/>
        <v>0</v>
      </c>
      <c r="F62" s="91">
        <f t="shared" si="13"/>
        <v>0</v>
      </c>
      <c r="G62" s="91">
        <f t="shared" si="13"/>
        <v>0</v>
      </c>
      <c r="H62" s="34">
        <f t="shared" si="13"/>
        <v>0</v>
      </c>
      <c r="I62" s="34">
        <f t="shared" si="13"/>
        <v>0</v>
      </c>
      <c r="J62" s="34">
        <f t="shared" si="13"/>
        <v>0</v>
      </c>
      <c r="K62" s="91">
        <f t="shared" si="13"/>
        <v>0</v>
      </c>
      <c r="L62" s="91">
        <f t="shared" si="13"/>
        <v>0</v>
      </c>
      <c r="M62" s="91">
        <f t="shared" si="13"/>
        <v>0</v>
      </c>
      <c r="N62" s="91">
        <f t="shared" si="13"/>
        <v>0</v>
      </c>
      <c r="O62" s="91">
        <f t="shared" si="13"/>
        <v>0</v>
      </c>
      <c r="P62" s="91">
        <f t="shared" si="13"/>
        <v>0</v>
      </c>
      <c r="Q62" s="126">
        <f t="shared" si="11"/>
        <v>0</v>
      </c>
    </row>
    <row r="63" spans="1:17" ht="15">
      <c r="A63" s="52" t="s">
        <v>179</v>
      </c>
      <c r="B63" s="25" t="s">
        <v>242</v>
      </c>
      <c r="C63" s="53"/>
      <c r="D63" s="18"/>
      <c r="E63" s="53"/>
      <c r="F63" s="53"/>
      <c r="G63" s="53"/>
      <c r="H63" s="18"/>
      <c r="I63" s="18"/>
      <c r="J63" s="18"/>
      <c r="K63" s="18"/>
      <c r="L63" s="18"/>
      <c r="M63" s="18"/>
      <c r="N63" s="18"/>
      <c r="O63" s="53"/>
      <c r="P63" s="53"/>
      <c r="Q63" s="126">
        <f t="shared" si="11"/>
        <v>0</v>
      </c>
    </row>
    <row r="64" spans="1:17" ht="15">
      <c r="A64" s="215" t="s">
        <v>307</v>
      </c>
      <c r="B64" s="216" t="s">
        <v>652</v>
      </c>
      <c r="C64" s="53">
        <f>239102+2592+12099+100</f>
        <v>253893</v>
      </c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126">
        <f t="shared" si="11"/>
        <v>253893</v>
      </c>
    </row>
    <row r="65" spans="1:17" ht="30">
      <c r="A65" s="227" t="s">
        <v>433</v>
      </c>
      <c r="B65" s="223" t="s">
        <v>380</v>
      </c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0">
        <v>613413</v>
      </c>
      <c r="Q65" s="126">
        <f t="shared" si="11"/>
        <v>613413</v>
      </c>
    </row>
    <row r="66" spans="1:17" ht="15.75" thickBot="1">
      <c r="A66" s="227" t="s">
        <v>434</v>
      </c>
      <c r="B66" s="224" t="s">
        <v>381</v>
      </c>
      <c r="C66" s="18">
        <v>37287</v>
      </c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70"/>
      <c r="Q66" s="126">
        <f t="shared" si="11"/>
        <v>37287</v>
      </c>
    </row>
    <row r="67" spans="1:17" ht="15.75" thickBot="1">
      <c r="A67" s="80" t="s">
        <v>16</v>
      </c>
      <c r="B67" s="148" t="s">
        <v>69</v>
      </c>
      <c r="C67" s="46">
        <f aca="true" t="shared" si="14" ref="C67:P67">C68+C71+C83+C86</f>
        <v>3214176</v>
      </c>
      <c r="D67" s="46">
        <f t="shared" si="14"/>
        <v>561088</v>
      </c>
      <c r="E67" s="46">
        <f t="shared" si="14"/>
        <v>0</v>
      </c>
      <c r="F67" s="46">
        <f t="shared" si="14"/>
        <v>130032</v>
      </c>
      <c r="G67" s="46">
        <f t="shared" si="14"/>
        <v>0</v>
      </c>
      <c r="H67" s="46">
        <f t="shared" si="14"/>
        <v>13840</v>
      </c>
      <c r="I67" s="46">
        <f t="shared" si="14"/>
        <v>35969</v>
      </c>
      <c r="J67" s="46">
        <f t="shared" si="14"/>
        <v>20366</v>
      </c>
      <c r="K67" s="46">
        <f t="shared" si="14"/>
        <v>63102</v>
      </c>
      <c r="L67" s="46">
        <f t="shared" si="14"/>
        <v>3605</v>
      </c>
      <c r="M67" s="46">
        <f t="shared" si="14"/>
        <v>11622</v>
      </c>
      <c r="N67" s="46">
        <f t="shared" si="14"/>
        <v>0</v>
      </c>
      <c r="O67" s="46">
        <f t="shared" si="14"/>
        <v>19532</v>
      </c>
      <c r="P67" s="46">
        <f t="shared" si="14"/>
        <v>0</v>
      </c>
      <c r="Q67" s="47">
        <f t="shared" si="11"/>
        <v>4073332</v>
      </c>
    </row>
    <row r="68" spans="1:17" ht="15">
      <c r="A68" s="118" t="s">
        <v>70</v>
      </c>
      <c r="B68" s="147" t="s">
        <v>71</v>
      </c>
      <c r="C68" s="120">
        <f>SUM(C69:C70)</f>
        <v>137903</v>
      </c>
      <c r="D68" s="120">
        <f aca="true" t="shared" si="15" ref="D68:P68">SUM(D69:D70)</f>
        <v>163340</v>
      </c>
      <c r="E68" s="120">
        <f t="shared" si="15"/>
        <v>0</v>
      </c>
      <c r="F68" s="120">
        <f t="shared" si="15"/>
        <v>72412</v>
      </c>
      <c r="G68" s="120">
        <f t="shared" si="15"/>
        <v>0</v>
      </c>
      <c r="H68" s="120">
        <f t="shared" si="15"/>
        <v>4840</v>
      </c>
      <c r="I68" s="120">
        <f t="shared" si="15"/>
        <v>24731</v>
      </c>
      <c r="J68" s="120">
        <f t="shared" si="15"/>
        <v>13894</v>
      </c>
      <c r="K68" s="120">
        <f t="shared" si="15"/>
        <v>37697</v>
      </c>
      <c r="L68" s="120">
        <f t="shared" si="15"/>
        <v>0</v>
      </c>
      <c r="M68" s="120">
        <f t="shared" si="15"/>
        <v>9082</v>
      </c>
      <c r="N68" s="120">
        <f t="shared" si="15"/>
        <v>0</v>
      </c>
      <c r="O68" s="120">
        <f t="shared" si="15"/>
        <v>10313</v>
      </c>
      <c r="P68" s="120">
        <f t="shared" si="15"/>
        <v>0</v>
      </c>
      <c r="Q68" s="51">
        <f t="shared" si="11"/>
        <v>474212</v>
      </c>
    </row>
    <row r="69" spans="1:17" ht="30">
      <c r="A69" s="52" t="s">
        <v>180</v>
      </c>
      <c r="B69" s="25" t="s">
        <v>314</v>
      </c>
      <c r="C69" s="129">
        <f>9513+28039+80991</f>
        <v>118543</v>
      </c>
      <c r="D69" s="18">
        <v>163340</v>
      </c>
      <c r="E69" s="18"/>
      <c r="F69" s="18">
        <v>72412</v>
      </c>
      <c r="G69" s="53"/>
      <c r="H69" s="53">
        <v>4840</v>
      </c>
      <c r="I69" s="18">
        <v>24731</v>
      </c>
      <c r="J69" s="18">
        <v>13894</v>
      </c>
      <c r="K69" s="18">
        <v>37697</v>
      </c>
      <c r="L69" s="18"/>
      <c r="M69" s="18">
        <v>9082</v>
      </c>
      <c r="N69" s="18"/>
      <c r="O69" s="57">
        <v>10313</v>
      </c>
      <c r="P69" s="53"/>
      <c r="Q69" s="126">
        <f t="shared" si="11"/>
        <v>454852</v>
      </c>
    </row>
    <row r="70" spans="1:17" ht="15">
      <c r="A70" s="52" t="s">
        <v>254</v>
      </c>
      <c r="B70" s="139" t="s">
        <v>435</v>
      </c>
      <c r="C70" s="53">
        <v>19360</v>
      </c>
      <c r="D70" s="53"/>
      <c r="E70" s="53"/>
      <c r="F70" s="18"/>
      <c r="G70" s="55"/>
      <c r="H70" s="55"/>
      <c r="I70" s="18"/>
      <c r="J70" s="18"/>
      <c r="K70" s="53"/>
      <c r="L70" s="18"/>
      <c r="M70" s="53"/>
      <c r="N70" s="18"/>
      <c r="O70" s="57"/>
      <c r="P70" s="53"/>
      <c r="Q70" s="126">
        <f t="shared" si="11"/>
        <v>19360</v>
      </c>
    </row>
    <row r="71" spans="1:17" ht="15">
      <c r="A71" s="125" t="s">
        <v>2</v>
      </c>
      <c r="B71" s="127" t="s">
        <v>72</v>
      </c>
      <c r="C71" s="235">
        <f>SUM(C72:C82)</f>
        <v>670379</v>
      </c>
      <c r="D71" s="235">
        <f aca="true" t="shared" si="16" ref="D71:P71">SUM(D72:D82)</f>
        <v>397748</v>
      </c>
      <c r="E71" s="235">
        <f t="shared" si="16"/>
        <v>0</v>
      </c>
      <c r="F71" s="235">
        <f t="shared" si="16"/>
        <v>57620</v>
      </c>
      <c r="G71" s="235">
        <f t="shared" si="16"/>
        <v>0</v>
      </c>
      <c r="H71" s="235">
        <f t="shared" si="16"/>
        <v>0</v>
      </c>
      <c r="I71" s="235">
        <f t="shared" si="16"/>
        <v>11238</v>
      </c>
      <c r="J71" s="235">
        <f t="shared" si="16"/>
        <v>6472</v>
      </c>
      <c r="K71" s="235">
        <f t="shared" si="16"/>
        <v>25405</v>
      </c>
      <c r="L71" s="235">
        <f t="shared" si="16"/>
        <v>3605</v>
      </c>
      <c r="M71" s="235">
        <f t="shared" si="16"/>
        <v>2540</v>
      </c>
      <c r="N71" s="235">
        <f t="shared" si="16"/>
        <v>0</v>
      </c>
      <c r="O71" s="235">
        <f t="shared" si="16"/>
        <v>9219</v>
      </c>
      <c r="P71" s="235">
        <f t="shared" si="16"/>
        <v>0</v>
      </c>
      <c r="Q71" s="126">
        <f>SUM(C71:P71)</f>
        <v>1184226</v>
      </c>
    </row>
    <row r="72" spans="1:17" ht="15">
      <c r="A72" s="52" t="s">
        <v>181</v>
      </c>
      <c r="B72" s="36" t="s">
        <v>436</v>
      </c>
      <c r="C72" s="245">
        <f>202287+4647+24145</f>
        <v>231079</v>
      </c>
      <c r="D72" s="18">
        <v>34419</v>
      </c>
      <c r="E72" s="18"/>
      <c r="F72" s="18"/>
      <c r="G72" s="55"/>
      <c r="H72" s="55"/>
      <c r="I72" s="18"/>
      <c r="J72" s="18"/>
      <c r="K72" s="18"/>
      <c r="L72" s="18"/>
      <c r="M72" s="18"/>
      <c r="N72" s="18"/>
      <c r="O72" s="57"/>
      <c r="P72" s="53"/>
      <c r="Q72" s="126">
        <f t="shared" si="11"/>
        <v>265498</v>
      </c>
    </row>
    <row r="73" spans="1:17" ht="15">
      <c r="A73" s="150" t="s">
        <v>182</v>
      </c>
      <c r="B73" s="36" t="s">
        <v>437</v>
      </c>
      <c r="C73" s="246"/>
      <c r="D73" s="18">
        <v>363329</v>
      </c>
      <c r="E73" s="53"/>
      <c r="F73" s="53">
        <v>57620</v>
      </c>
      <c r="G73" s="53"/>
      <c r="H73" s="18"/>
      <c r="I73" s="18">
        <v>11238</v>
      </c>
      <c r="J73" s="18">
        <v>6472</v>
      </c>
      <c r="K73" s="18">
        <f>25405</f>
        <v>25405</v>
      </c>
      <c r="L73" s="18">
        <v>3605</v>
      </c>
      <c r="M73" s="18">
        <v>2540</v>
      </c>
      <c r="N73" s="18"/>
      <c r="O73" s="57">
        <v>9219</v>
      </c>
      <c r="P73" s="53"/>
      <c r="Q73" s="126">
        <f t="shared" si="11"/>
        <v>479428</v>
      </c>
    </row>
    <row r="74" spans="1:17" ht="15">
      <c r="A74" s="130" t="s">
        <v>182</v>
      </c>
      <c r="B74" s="127" t="s">
        <v>437</v>
      </c>
      <c r="C74" s="240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18"/>
      <c r="O74" s="75"/>
      <c r="P74" s="26"/>
      <c r="Q74" s="126">
        <f t="shared" si="11"/>
        <v>0</v>
      </c>
    </row>
    <row r="75" spans="1:17" ht="15" customHeight="1">
      <c r="A75" s="285" t="s">
        <v>709</v>
      </c>
      <c r="B75" s="36" t="s">
        <v>710</v>
      </c>
      <c r="C75" s="240">
        <f>12019+700</f>
        <v>12719</v>
      </c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18"/>
      <c r="O75" s="75"/>
      <c r="P75" s="26"/>
      <c r="Q75" s="126">
        <f t="shared" si="11"/>
        <v>12719</v>
      </c>
    </row>
    <row r="76" spans="1:17" ht="15" customHeight="1">
      <c r="A76" s="285" t="s">
        <v>711</v>
      </c>
      <c r="B76" s="36" t="s">
        <v>712</v>
      </c>
      <c r="C76" s="240">
        <f>8178+8290</f>
        <v>16468</v>
      </c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18"/>
      <c r="O76" s="75"/>
      <c r="P76" s="26"/>
      <c r="Q76" s="126">
        <f t="shared" si="11"/>
        <v>16468</v>
      </c>
    </row>
    <row r="77" spans="1:17" ht="15" customHeight="1">
      <c r="A77" s="285" t="s">
        <v>713</v>
      </c>
      <c r="B77" s="36" t="s">
        <v>714</v>
      </c>
      <c r="C77" s="240">
        <f>47750-515</f>
        <v>47235</v>
      </c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18"/>
      <c r="O77" s="75"/>
      <c r="P77" s="26"/>
      <c r="Q77" s="126">
        <f t="shared" si="11"/>
        <v>47235</v>
      </c>
    </row>
    <row r="78" spans="1:17" ht="15">
      <c r="A78" s="285" t="s">
        <v>715</v>
      </c>
      <c r="B78" s="36" t="s">
        <v>716</v>
      </c>
      <c r="C78" s="240">
        <f>4158+1000</f>
        <v>5158</v>
      </c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18"/>
      <c r="O78" s="75"/>
      <c r="P78" s="26"/>
      <c r="Q78" s="126">
        <f t="shared" si="11"/>
        <v>5158</v>
      </c>
    </row>
    <row r="79" spans="1:17" ht="15" customHeight="1">
      <c r="A79" s="285" t="s">
        <v>717</v>
      </c>
      <c r="B79" s="36" t="s">
        <v>718</v>
      </c>
      <c r="C79" s="240">
        <f>6479+100</f>
        <v>6579</v>
      </c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18"/>
      <c r="O79" s="75"/>
      <c r="P79" s="26"/>
      <c r="Q79" s="126">
        <f t="shared" si="11"/>
        <v>6579</v>
      </c>
    </row>
    <row r="80" spans="1:17" ht="15" customHeight="1">
      <c r="A80" s="285" t="s">
        <v>719</v>
      </c>
      <c r="B80" s="36" t="s">
        <v>720</v>
      </c>
      <c r="C80" s="240">
        <v>3100</v>
      </c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18"/>
      <c r="O80" s="75"/>
      <c r="P80" s="26"/>
      <c r="Q80" s="126">
        <f t="shared" si="11"/>
        <v>3100</v>
      </c>
    </row>
    <row r="81" spans="1:17" ht="15" customHeight="1">
      <c r="A81" s="285" t="s">
        <v>721</v>
      </c>
      <c r="B81" s="36" t="s">
        <v>722</v>
      </c>
      <c r="C81" s="240">
        <v>6711</v>
      </c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18"/>
      <c r="O81" s="75"/>
      <c r="P81" s="26"/>
      <c r="Q81" s="126">
        <f t="shared" si="11"/>
        <v>6711</v>
      </c>
    </row>
    <row r="82" spans="1:17" ht="45">
      <c r="A82" s="150" t="s">
        <v>608</v>
      </c>
      <c r="B82" s="146" t="s">
        <v>609</v>
      </c>
      <c r="C82" s="240">
        <v>341330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18"/>
      <c r="O82" s="75"/>
      <c r="P82" s="26"/>
      <c r="Q82" s="126">
        <f t="shared" si="11"/>
        <v>341330</v>
      </c>
    </row>
    <row r="83" spans="1:17" s="184" customFormat="1" ht="28.5">
      <c r="A83" s="125" t="s">
        <v>183</v>
      </c>
      <c r="B83" s="147" t="s">
        <v>184</v>
      </c>
      <c r="C83" s="239">
        <f aca="true" t="shared" si="17" ref="C83:P83">SUM(C84:C85)</f>
        <v>2351107</v>
      </c>
      <c r="D83" s="239">
        <f t="shared" si="17"/>
        <v>0</v>
      </c>
      <c r="E83" s="239">
        <f t="shared" si="17"/>
        <v>0</v>
      </c>
      <c r="F83" s="239">
        <f t="shared" si="17"/>
        <v>0</v>
      </c>
      <c r="G83" s="239">
        <f t="shared" si="17"/>
        <v>0</v>
      </c>
      <c r="H83" s="239">
        <f t="shared" si="17"/>
        <v>0</v>
      </c>
      <c r="I83" s="239">
        <f t="shared" si="17"/>
        <v>0</v>
      </c>
      <c r="J83" s="239">
        <f t="shared" si="17"/>
        <v>0</v>
      </c>
      <c r="K83" s="239">
        <f t="shared" si="17"/>
        <v>0</v>
      </c>
      <c r="L83" s="239">
        <f t="shared" si="17"/>
        <v>0</v>
      </c>
      <c r="M83" s="239">
        <f t="shared" si="17"/>
        <v>0</v>
      </c>
      <c r="N83" s="239">
        <f t="shared" si="17"/>
        <v>0</v>
      </c>
      <c r="O83" s="239">
        <f t="shared" si="17"/>
        <v>0</v>
      </c>
      <c r="P83" s="239">
        <f t="shared" si="17"/>
        <v>0</v>
      </c>
      <c r="Q83" s="126">
        <f>SUM(C83:P83)</f>
        <v>2351107</v>
      </c>
    </row>
    <row r="84" spans="1:17" s="184" customFormat="1" ht="45">
      <c r="A84" s="12" t="s">
        <v>438</v>
      </c>
      <c r="B84" s="151" t="s">
        <v>439</v>
      </c>
      <c r="C84" s="240">
        <v>2315107</v>
      </c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91"/>
      <c r="Q84" s="126">
        <f t="shared" si="11"/>
        <v>2315107</v>
      </c>
    </row>
    <row r="85" spans="1:17" s="184" customFormat="1" ht="45">
      <c r="A85" s="12" t="s">
        <v>675</v>
      </c>
      <c r="B85" s="151" t="s">
        <v>676</v>
      </c>
      <c r="C85" s="240">
        <v>36000</v>
      </c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6">
        <f>SUM(C85:P85)</f>
        <v>36000</v>
      </c>
    </row>
    <row r="86" spans="1:17" ht="29.25">
      <c r="A86" s="118" t="s">
        <v>185</v>
      </c>
      <c r="B86" s="147" t="s">
        <v>186</v>
      </c>
      <c r="C86" s="239">
        <f>SUM(C87+C88)</f>
        <v>54787</v>
      </c>
      <c r="D86" s="239">
        <f aca="true" t="shared" si="18" ref="D86:P86">SUM(D87+D88)</f>
        <v>0</v>
      </c>
      <c r="E86" s="239">
        <f t="shared" si="18"/>
        <v>0</v>
      </c>
      <c r="F86" s="239">
        <f t="shared" si="18"/>
        <v>0</v>
      </c>
      <c r="G86" s="239">
        <f t="shared" si="18"/>
        <v>0</v>
      </c>
      <c r="H86" s="239">
        <f t="shared" si="18"/>
        <v>9000</v>
      </c>
      <c r="I86" s="239">
        <f t="shared" si="18"/>
        <v>0</v>
      </c>
      <c r="J86" s="239">
        <f t="shared" si="18"/>
        <v>0</v>
      </c>
      <c r="K86" s="239">
        <f t="shared" si="18"/>
        <v>0</v>
      </c>
      <c r="L86" s="239">
        <f t="shared" si="18"/>
        <v>0</v>
      </c>
      <c r="M86" s="239">
        <f t="shared" si="18"/>
        <v>0</v>
      </c>
      <c r="N86" s="239">
        <f t="shared" si="18"/>
        <v>0</v>
      </c>
      <c r="O86" s="239">
        <f t="shared" si="18"/>
        <v>0</v>
      </c>
      <c r="P86" s="239">
        <f t="shared" si="18"/>
        <v>0</v>
      </c>
      <c r="Q86" s="126">
        <f>SUM(C86:P86)</f>
        <v>63787</v>
      </c>
    </row>
    <row r="87" spans="1:17" s="184" customFormat="1" ht="15" customHeight="1">
      <c r="A87" s="52" t="s">
        <v>275</v>
      </c>
      <c r="B87" s="146" t="s">
        <v>186</v>
      </c>
      <c r="C87" s="240">
        <f>40027+3500</f>
        <v>43527</v>
      </c>
      <c r="D87" s="120"/>
      <c r="E87" s="120"/>
      <c r="F87" s="120"/>
      <c r="G87" s="120"/>
      <c r="H87" s="50">
        <v>9000</v>
      </c>
      <c r="I87" s="120"/>
      <c r="J87" s="120"/>
      <c r="K87" s="120"/>
      <c r="L87" s="120"/>
      <c r="M87" s="120"/>
      <c r="N87" s="120"/>
      <c r="O87" s="120"/>
      <c r="P87" s="91"/>
      <c r="Q87" s="126">
        <f>SUM(C87:P87)</f>
        <v>52527</v>
      </c>
    </row>
    <row r="88" spans="1:17" s="184" customFormat="1" ht="30" customHeight="1" thickBot="1">
      <c r="A88" s="152" t="s">
        <v>672</v>
      </c>
      <c r="B88" s="275" t="s">
        <v>671</v>
      </c>
      <c r="C88" s="276">
        <v>11260</v>
      </c>
      <c r="D88" s="141"/>
      <c r="E88" s="141"/>
      <c r="F88" s="141"/>
      <c r="G88" s="141"/>
      <c r="H88" s="79"/>
      <c r="I88" s="141"/>
      <c r="J88" s="141"/>
      <c r="K88" s="141"/>
      <c r="L88" s="141"/>
      <c r="M88" s="141"/>
      <c r="N88" s="141"/>
      <c r="O88" s="141"/>
      <c r="P88" s="162"/>
      <c r="Q88" s="136">
        <f>SUM(C88:P88)</f>
        <v>11260</v>
      </c>
    </row>
    <row r="89" spans="1:17" ht="30" thickBot="1">
      <c r="A89" s="80" t="s">
        <v>3</v>
      </c>
      <c r="B89" s="148" t="s">
        <v>73</v>
      </c>
      <c r="C89" s="195">
        <f>SUM(C90:C104)</f>
        <v>10482594</v>
      </c>
      <c r="D89" s="195">
        <f aca="true" t="shared" si="19" ref="D89:N89">SUM(D90:D104)</f>
        <v>2923997</v>
      </c>
      <c r="E89" s="195">
        <f t="shared" si="19"/>
        <v>0</v>
      </c>
      <c r="F89" s="195">
        <f t="shared" si="19"/>
        <v>465235</v>
      </c>
      <c r="G89" s="195">
        <f t="shared" si="19"/>
        <v>0</v>
      </c>
      <c r="H89" s="195">
        <f t="shared" si="19"/>
        <v>59010</v>
      </c>
      <c r="I89" s="195">
        <f t="shared" si="19"/>
        <v>153927</v>
      </c>
      <c r="J89" s="195">
        <f>SUM(J90:J104)</f>
        <v>109609</v>
      </c>
      <c r="K89" s="195">
        <f t="shared" si="19"/>
        <v>291431</v>
      </c>
      <c r="L89" s="195">
        <f t="shared" si="19"/>
        <v>44561</v>
      </c>
      <c r="M89" s="195">
        <f t="shared" si="19"/>
        <v>95281</v>
      </c>
      <c r="N89" s="195">
        <f t="shared" si="19"/>
        <v>73699</v>
      </c>
      <c r="O89" s="195">
        <f>SUM(O90:O104)</f>
        <v>60648</v>
      </c>
      <c r="P89" s="195">
        <f>SUM(P90:P104)</f>
        <v>0</v>
      </c>
      <c r="Q89" s="47">
        <f>SUM(C89:P89)</f>
        <v>14759992</v>
      </c>
    </row>
    <row r="90" spans="1:17" ht="15">
      <c r="A90" s="118" t="s">
        <v>237</v>
      </c>
      <c r="B90" s="147" t="s">
        <v>276</v>
      </c>
      <c r="C90" s="248"/>
      <c r="D90" s="50"/>
      <c r="E90" s="26"/>
      <c r="F90" s="26"/>
      <c r="G90" s="26"/>
      <c r="H90" s="50"/>
      <c r="I90" s="175"/>
      <c r="J90" s="50"/>
      <c r="K90" s="50"/>
      <c r="L90" s="50"/>
      <c r="M90" s="50"/>
      <c r="N90" s="50"/>
      <c r="O90" s="26"/>
      <c r="P90" s="26"/>
      <c r="Q90" s="51">
        <f t="shared" si="11"/>
        <v>0</v>
      </c>
    </row>
    <row r="91" spans="1:17" ht="15">
      <c r="A91" s="142" t="s">
        <v>255</v>
      </c>
      <c r="B91" s="146" t="s">
        <v>126</v>
      </c>
      <c r="C91" s="248"/>
      <c r="D91" s="50"/>
      <c r="E91" s="26"/>
      <c r="F91" s="26"/>
      <c r="G91" s="26"/>
      <c r="H91" s="50"/>
      <c r="I91" s="18"/>
      <c r="J91" s="50"/>
      <c r="K91" s="50"/>
      <c r="L91" s="50"/>
      <c r="M91" s="50"/>
      <c r="N91" s="50"/>
      <c r="O91" s="26"/>
      <c r="P91" s="53"/>
      <c r="Q91" s="126">
        <f t="shared" si="11"/>
        <v>0</v>
      </c>
    </row>
    <row r="92" spans="1:17" ht="15">
      <c r="A92" s="125" t="s">
        <v>277</v>
      </c>
      <c r="B92" s="127" t="s">
        <v>187</v>
      </c>
      <c r="C92" s="235">
        <f>152958+5421</f>
        <v>158379</v>
      </c>
      <c r="D92" s="18"/>
      <c r="E92" s="53"/>
      <c r="F92" s="53"/>
      <c r="G92" s="53"/>
      <c r="H92" s="18"/>
      <c r="I92" s="18"/>
      <c r="J92" s="18"/>
      <c r="K92" s="18"/>
      <c r="L92" s="18"/>
      <c r="M92" s="18"/>
      <c r="N92" s="18"/>
      <c r="O92" s="53"/>
      <c r="P92" s="53"/>
      <c r="Q92" s="126">
        <f t="shared" si="11"/>
        <v>158379</v>
      </c>
    </row>
    <row r="93" spans="1:17" ht="15">
      <c r="A93" s="125" t="s">
        <v>74</v>
      </c>
      <c r="B93" s="127" t="s">
        <v>75</v>
      </c>
      <c r="C93" s="245"/>
      <c r="D93" s="18"/>
      <c r="E93" s="18"/>
      <c r="F93" s="18"/>
      <c r="G93" s="55"/>
      <c r="H93" s="55"/>
      <c r="I93" s="18"/>
      <c r="J93" s="18"/>
      <c r="K93" s="18"/>
      <c r="L93" s="18"/>
      <c r="M93" s="18"/>
      <c r="N93" s="18"/>
      <c r="O93" s="53"/>
      <c r="P93" s="53"/>
      <c r="Q93" s="126">
        <f t="shared" si="11"/>
        <v>0</v>
      </c>
    </row>
    <row r="94" spans="1:17" ht="15">
      <c r="A94" s="52" t="s">
        <v>315</v>
      </c>
      <c r="B94" s="36" t="s">
        <v>316</v>
      </c>
      <c r="C94" s="245"/>
      <c r="D94" s="18">
        <f>467158+1000</f>
        <v>468158</v>
      </c>
      <c r="E94" s="18"/>
      <c r="F94" s="18">
        <v>42733</v>
      </c>
      <c r="G94" s="55"/>
      <c r="H94" s="55"/>
      <c r="I94" s="18">
        <v>10734</v>
      </c>
      <c r="J94" s="18">
        <v>9889</v>
      </c>
      <c r="K94" s="200">
        <f>28718</f>
        <v>28718</v>
      </c>
      <c r="L94" s="18">
        <v>2134</v>
      </c>
      <c r="M94" s="18">
        <v>3532</v>
      </c>
      <c r="N94" s="200">
        <v>63265</v>
      </c>
      <c r="O94" s="57">
        <v>4072</v>
      </c>
      <c r="P94" s="53"/>
      <c r="Q94" s="126">
        <f t="shared" si="11"/>
        <v>633235</v>
      </c>
    </row>
    <row r="95" spans="1:17" ht="15">
      <c r="A95" s="145" t="s">
        <v>723</v>
      </c>
      <c r="B95" s="36" t="s">
        <v>724</v>
      </c>
      <c r="C95" s="245">
        <f>17423-2500</f>
        <v>14923</v>
      </c>
      <c r="D95" s="18"/>
      <c r="E95" s="18"/>
      <c r="F95" s="18"/>
      <c r="G95" s="18"/>
      <c r="H95" s="57"/>
      <c r="I95" s="18"/>
      <c r="J95" s="18"/>
      <c r="K95" s="200"/>
      <c r="L95" s="18"/>
      <c r="M95" s="18"/>
      <c r="N95" s="200"/>
      <c r="O95" s="57"/>
      <c r="P95" s="53"/>
      <c r="Q95" s="126">
        <f t="shared" si="11"/>
        <v>14923</v>
      </c>
    </row>
    <row r="96" spans="1:17" ht="15">
      <c r="A96" s="145" t="s">
        <v>725</v>
      </c>
      <c r="B96" s="36" t="s">
        <v>726</v>
      </c>
      <c r="C96" s="245">
        <f>46045-8290</f>
        <v>37755</v>
      </c>
      <c r="D96" s="18"/>
      <c r="E96" s="18"/>
      <c r="F96" s="18"/>
      <c r="G96" s="18"/>
      <c r="H96" s="57"/>
      <c r="I96" s="18"/>
      <c r="J96" s="18"/>
      <c r="K96" s="18"/>
      <c r="L96" s="18"/>
      <c r="M96" s="18"/>
      <c r="N96" s="200"/>
      <c r="O96" s="57"/>
      <c r="P96" s="53"/>
      <c r="Q96" s="126">
        <f t="shared" si="11"/>
        <v>37755</v>
      </c>
    </row>
    <row r="97" spans="1:17" ht="15">
      <c r="A97" s="145" t="s">
        <v>727</v>
      </c>
      <c r="B97" s="36" t="s">
        <v>728</v>
      </c>
      <c r="C97" s="245">
        <f>24123-3700</f>
        <v>20423</v>
      </c>
      <c r="D97" s="18"/>
      <c r="E97" s="18"/>
      <c r="F97" s="18"/>
      <c r="G97" s="18"/>
      <c r="H97" s="57"/>
      <c r="I97" s="18"/>
      <c r="J97" s="18"/>
      <c r="K97" s="18"/>
      <c r="L97" s="18"/>
      <c r="M97" s="18"/>
      <c r="N97" s="200"/>
      <c r="O97" s="57"/>
      <c r="P97" s="53"/>
      <c r="Q97" s="126">
        <f t="shared" si="11"/>
        <v>20423</v>
      </c>
    </row>
    <row r="98" spans="1:17" ht="15">
      <c r="A98" s="145" t="s">
        <v>729</v>
      </c>
      <c r="B98" s="36" t="s">
        <v>730</v>
      </c>
      <c r="C98" s="245">
        <f>13946-1000</f>
        <v>12946</v>
      </c>
      <c r="D98" s="18"/>
      <c r="E98" s="18"/>
      <c r="F98" s="18"/>
      <c r="G98" s="18"/>
      <c r="H98" s="57"/>
      <c r="I98" s="18"/>
      <c r="J98" s="18"/>
      <c r="K98" s="18"/>
      <c r="L98" s="18"/>
      <c r="M98" s="18"/>
      <c r="N98" s="200"/>
      <c r="O98" s="57"/>
      <c r="P98" s="53"/>
      <c r="Q98" s="126">
        <f t="shared" si="11"/>
        <v>12946</v>
      </c>
    </row>
    <row r="99" spans="1:17" ht="15">
      <c r="A99" s="145" t="s">
        <v>731</v>
      </c>
      <c r="B99" s="36" t="s">
        <v>732</v>
      </c>
      <c r="C99" s="245">
        <f>6140-500</f>
        <v>5640</v>
      </c>
      <c r="D99" s="18"/>
      <c r="E99" s="18"/>
      <c r="F99" s="18"/>
      <c r="G99" s="18"/>
      <c r="H99" s="57"/>
      <c r="I99" s="18"/>
      <c r="J99" s="18"/>
      <c r="K99" s="18"/>
      <c r="L99" s="18"/>
      <c r="M99" s="18"/>
      <c r="N99" s="200"/>
      <c r="O99" s="57"/>
      <c r="P99" s="53"/>
      <c r="Q99" s="126">
        <f t="shared" si="11"/>
        <v>5640</v>
      </c>
    </row>
    <row r="100" spans="1:17" ht="15">
      <c r="A100" s="145" t="s">
        <v>733</v>
      </c>
      <c r="B100" s="36" t="s">
        <v>734</v>
      </c>
      <c r="C100" s="245">
        <f>52337-7400</f>
        <v>44937</v>
      </c>
      <c r="D100" s="18"/>
      <c r="E100" s="18"/>
      <c r="F100" s="18"/>
      <c r="G100" s="18"/>
      <c r="H100" s="57"/>
      <c r="I100" s="18"/>
      <c r="J100" s="18"/>
      <c r="K100" s="18"/>
      <c r="L100" s="18"/>
      <c r="M100" s="18"/>
      <c r="N100" s="200"/>
      <c r="O100" s="57"/>
      <c r="P100" s="53"/>
      <c r="Q100" s="126">
        <f t="shared" si="11"/>
        <v>44937</v>
      </c>
    </row>
    <row r="101" spans="1:17" ht="15">
      <c r="A101" s="145" t="s">
        <v>735</v>
      </c>
      <c r="B101" s="36" t="s">
        <v>736</v>
      </c>
      <c r="C101" s="245">
        <f>5393-500</f>
        <v>4893</v>
      </c>
      <c r="D101" s="18"/>
      <c r="E101" s="18"/>
      <c r="F101" s="18"/>
      <c r="G101" s="18"/>
      <c r="H101" s="57"/>
      <c r="I101" s="18"/>
      <c r="J101" s="18"/>
      <c r="K101" s="18"/>
      <c r="L101" s="18"/>
      <c r="M101" s="18"/>
      <c r="N101" s="200"/>
      <c r="O101" s="57"/>
      <c r="P101" s="53"/>
      <c r="Q101" s="126">
        <f t="shared" si="11"/>
        <v>4893</v>
      </c>
    </row>
    <row r="102" spans="1:17" ht="15">
      <c r="A102" s="145" t="s">
        <v>625</v>
      </c>
      <c r="B102" s="36" t="s">
        <v>76</v>
      </c>
      <c r="C102" s="245">
        <f>1056550-5421</f>
        <v>1051129</v>
      </c>
      <c r="D102" s="18"/>
      <c r="E102" s="18"/>
      <c r="F102" s="18"/>
      <c r="G102" s="53"/>
      <c r="H102" s="53">
        <v>2763</v>
      </c>
      <c r="I102" s="18">
        <v>797</v>
      </c>
      <c r="J102" s="18"/>
      <c r="K102" s="18">
        <v>4426</v>
      </c>
      <c r="L102" s="18"/>
      <c r="M102" s="18"/>
      <c r="N102" s="200"/>
      <c r="O102" s="53">
        <v>3367</v>
      </c>
      <c r="P102" s="53"/>
      <c r="Q102" s="126">
        <f t="shared" si="11"/>
        <v>1062482</v>
      </c>
    </row>
    <row r="103" spans="1:17" ht="15">
      <c r="A103" s="145" t="s">
        <v>623</v>
      </c>
      <c r="B103" s="36" t="s">
        <v>653</v>
      </c>
      <c r="C103" s="246">
        <v>220000</v>
      </c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37"/>
      <c r="O103" s="53"/>
      <c r="P103" s="53"/>
      <c r="Q103" s="126">
        <f t="shared" si="11"/>
        <v>220000</v>
      </c>
    </row>
    <row r="104" spans="1:17" ht="43.5">
      <c r="A104" s="125" t="s">
        <v>77</v>
      </c>
      <c r="B104" s="127" t="s">
        <v>78</v>
      </c>
      <c r="C104" s="249">
        <f aca="true" t="shared" si="20" ref="C104:P104">SUM(C105:C139)</f>
        <v>8911569</v>
      </c>
      <c r="D104" s="235">
        <f t="shared" si="20"/>
        <v>2455839</v>
      </c>
      <c r="E104" s="235">
        <f t="shared" si="20"/>
        <v>0</v>
      </c>
      <c r="F104" s="235">
        <f t="shared" si="20"/>
        <v>422502</v>
      </c>
      <c r="G104" s="235">
        <f t="shared" si="20"/>
        <v>0</v>
      </c>
      <c r="H104" s="235">
        <f t="shared" si="20"/>
        <v>56247</v>
      </c>
      <c r="I104" s="235">
        <f t="shared" si="20"/>
        <v>142396</v>
      </c>
      <c r="J104" s="235">
        <f t="shared" si="20"/>
        <v>99720</v>
      </c>
      <c r="K104" s="235">
        <f t="shared" si="20"/>
        <v>258287</v>
      </c>
      <c r="L104" s="235">
        <f t="shared" si="20"/>
        <v>42427</v>
      </c>
      <c r="M104" s="235">
        <f t="shared" si="20"/>
        <v>91749</v>
      </c>
      <c r="N104" s="235">
        <f t="shared" si="20"/>
        <v>10434</v>
      </c>
      <c r="O104" s="235">
        <f t="shared" si="20"/>
        <v>53209</v>
      </c>
      <c r="P104" s="235">
        <f t="shared" si="20"/>
        <v>0</v>
      </c>
      <c r="Q104" s="126">
        <f t="shared" si="11"/>
        <v>12544379</v>
      </c>
    </row>
    <row r="105" spans="1:17" ht="15">
      <c r="A105" s="52" t="s">
        <v>188</v>
      </c>
      <c r="B105" s="36" t="s">
        <v>246</v>
      </c>
      <c r="C105" s="246">
        <f>82+6600</f>
        <v>6682</v>
      </c>
      <c r="D105" s="18">
        <v>2411575</v>
      </c>
      <c r="E105" s="18"/>
      <c r="F105" s="18">
        <v>110312</v>
      </c>
      <c r="G105" s="55"/>
      <c r="H105" s="93"/>
      <c r="I105" s="50">
        <v>7365</v>
      </c>
      <c r="J105" s="18">
        <v>11300</v>
      </c>
      <c r="K105" s="18"/>
      <c r="L105" s="18"/>
      <c r="M105" s="18"/>
      <c r="N105" s="18"/>
      <c r="O105" s="18"/>
      <c r="P105" s="53"/>
      <c r="Q105" s="126">
        <f>SUM(C105:P105)</f>
        <v>2547234</v>
      </c>
    </row>
    <row r="106" spans="1:17" ht="15">
      <c r="A106" s="52" t="s">
        <v>189</v>
      </c>
      <c r="B106" s="36" t="s">
        <v>247</v>
      </c>
      <c r="C106" s="246">
        <f>207861-82</f>
        <v>207779</v>
      </c>
      <c r="D106" s="18"/>
      <c r="E106" s="18"/>
      <c r="F106" s="18">
        <v>312190</v>
      </c>
      <c r="G106" s="55"/>
      <c r="H106" s="93"/>
      <c r="I106" s="18">
        <v>64209</v>
      </c>
      <c r="J106" s="18">
        <v>56759</v>
      </c>
      <c r="K106" s="200">
        <f>145108+3</f>
        <v>145111</v>
      </c>
      <c r="L106" s="18"/>
      <c r="M106" s="18"/>
      <c r="N106" s="18"/>
      <c r="O106" s="53">
        <v>23391</v>
      </c>
      <c r="P106" s="53"/>
      <c r="Q106" s="126">
        <f t="shared" si="11"/>
        <v>809439</v>
      </c>
    </row>
    <row r="107" spans="1:17" ht="15">
      <c r="A107" s="52" t="s">
        <v>190</v>
      </c>
      <c r="B107" s="36" t="s">
        <v>440</v>
      </c>
      <c r="C107" s="246">
        <v>17011</v>
      </c>
      <c r="D107" s="18">
        <v>44264</v>
      </c>
      <c r="E107" s="53"/>
      <c r="F107" s="53"/>
      <c r="G107" s="53"/>
      <c r="H107" s="53">
        <v>5016</v>
      </c>
      <c r="I107" s="18"/>
      <c r="J107" s="18"/>
      <c r="K107" s="200">
        <v>10487</v>
      </c>
      <c r="L107" s="18">
        <v>2753</v>
      </c>
      <c r="M107" s="18"/>
      <c r="N107" s="18">
        <v>4557</v>
      </c>
      <c r="O107" s="53">
        <v>910</v>
      </c>
      <c r="P107" s="53"/>
      <c r="Q107" s="126">
        <f t="shared" si="11"/>
        <v>84998</v>
      </c>
    </row>
    <row r="108" spans="1:17" ht="30">
      <c r="A108" s="52" t="s">
        <v>191</v>
      </c>
      <c r="B108" s="36" t="s">
        <v>441</v>
      </c>
      <c r="C108" s="240">
        <f>87300-12400</f>
        <v>74900</v>
      </c>
      <c r="D108" s="18"/>
      <c r="E108" s="53"/>
      <c r="F108" s="53"/>
      <c r="G108" s="53"/>
      <c r="H108" s="18">
        <v>1999</v>
      </c>
      <c r="I108" s="18">
        <v>2000</v>
      </c>
      <c r="J108" s="18">
        <v>1180</v>
      </c>
      <c r="K108" s="200">
        <f>5221-25</f>
        <v>5196</v>
      </c>
      <c r="L108" s="18"/>
      <c r="M108" s="18">
        <v>2000</v>
      </c>
      <c r="N108" s="18"/>
      <c r="O108" s="53"/>
      <c r="P108" s="53"/>
      <c r="Q108" s="126">
        <f t="shared" si="11"/>
        <v>87275</v>
      </c>
    </row>
    <row r="109" spans="1:17" ht="30">
      <c r="A109" s="52" t="s">
        <v>192</v>
      </c>
      <c r="B109" s="146" t="s">
        <v>442</v>
      </c>
      <c r="C109" s="247">
        <f>80000-10000</f>
        <v>70000</v>
      </c>
      <c r="D109" s="18"/>
      <c r="E109" s="53"/>
      <c r="F109" s="53"/>
      <c r="G109" s="53"/>
      <c r="H109" s="53">
        <v>2579</v>
      </c>
      <c r="I109" s="18"/>
      <c r="J109" s="18">
        <v>242</v>
      </c>
      <c r="K109" s="200">
        <v>242</v>
      </c>
      <c r="L109" s="18"/>
      <c r="M109" s="18"/>
      <c r="N109" s="18"/>
      <c r="O109" s="53">
        <v>285</v>
      </c>
      <c r="P109" s="53"/>
      <c r="Q109" s="126">
        <f t="shared" si="11"/>
        <v>73348</v>
      </c>
    </row>
    <row r="110" spans="1:17" ht="15">
      <c r="A110" s="52" t="s">
        <v>193</v>
      </c>
      <c r="B110" s="153" t="s">
        <v>443</v>
      </c>
      <c r="C110" s="245">
        <f>10500+120000-91714</f>
        <v>38786</v>
      </c>
      <c r="D110" s="53"/>
      <c r="E110" s="53"/>
      <c r="F110" s="53"/>
      <c r="G110" s="53"/>
      <c r="H110" s="53">
        <v>3826</v>
      </c>
      <c r="I110" s="18"/>
      <c r="J110" s="18">
        <v>24665</v>
      </c>
      <c r="K110" s="18"/>
      <c r="L110" s="18">
        <v>23035</v>
      </c>
      <c r="M110" s="18"/>
      <c r="N110" s="200"/>
      <c r="O110" s="53"/>
      <c r="P110" s="53"/>
      <c r="Q110" s="126">
        <f aca="true" t="shared" si="21" ref="Q110:Q139">SUM(C110:P110)</f>
        <v>90312</v>
      </c>
    </row>
    <row r="111" spans="1:17" ht="17.25" customHeight="1">
      <c r="A111" s="52" t="s">
        <v>194</v>
      </c>
      <c r="B111" s="36" t="s">
        <v>444</v>
      </c>
      <c r="C111" s="21">
        <f>6000+3612</f>
        <v>9612</v>
      </c>
      <c r="D111" s="18"/>
      <c r="E111" s="53"/>
      <c r="F111" s="53"/>
      <c r="G111" s="53"/>
      <c r="H111" s="18"/>
      <c r="I111" s="18"/>
      <c r="J111" s="18"/>
      <c r="K111" s="18"/>
      <c r="L111" s="18"/>
      <c r="M111" s="18"/>
      <c r="N111" s="18"/>
      <c r="O111" s="53"/>
      <c r="P111" s="53"/>
      <c r="Q111" s="126">
        <f t="shared" si="21"/>
        <v>9612</v>
      </c>
    </row>
    <row r="112" spans="1:17" ht="15">
      <c r="A112" s="52" t="s">
        <v>195</v>
      </c>
      <c r="B112" s="36" t="s">
        <v>445</v>
      </c>
      <c r="C112" s="246"/>
      <c r="D112" s="53"/>
      <c r="E112" s="53"/>
      <c r="F112" s="53"/>
      <c r="G112" s="53"/>
      <c r="H112" s="18"/>
      <c r="I112" s="18">
        <v>68822</v>
      </c>
      <c r="J112" s="18"/>
      <c r="K112" s="9">
        <v>97251</v>
      </c>
      <c r="L112" s="18">
        <v>16639</v>
      </c>
      <c r="M112" s="18">
        <v>89749</v>
      </c>
      <c r="N112" s="18"/>
      <c r="O112" s="57">
        <v>28623</v>
      </c>
      <c r="P112" s="53"/>
      <c r="Q112" s="126">
        <f t="shared" si="21"/>
        <v>301084</v>
      </c>
    </row>
    <row r="113" spans="1:17" ht="15">
      <c r="A113" s="52" t="s">
        <v>282</v>
      </c>
      <c r="B113" s="146" t="s">
        <v>446</v>
      </c>
      <c r="C113" s="271"/>
      <c r="D113" s="18"/>
      <c r="E113" s="18"/>
      <c r="F113" s="18"/>
      <c r="G113" s="18"/>
      <c r="H113" s="18">
        <v>40095</v>
      </c>
      <c r="I113" s="18"/>
      <c r="J113" s="18">
        <v>5574</v>
      </c>
      <c r="K113" s="9"/>
      <c r="L113" s="18"/>
      <c r="M113" s="18"/>
      <c r="N113" s="18"/>
      <c r="O113" s="53"/>
      <c r="P113" s="53"/>
      <c r="Q113" s="126">
        <f t="shared" si="21"/>
        <v>45669</v>
      </c>
    </row>
    <row r="114" spans="1:17" ht="15">
      <c r="A114" s="250" t="s">
        <v>447</v>
      </c>
      <c r="B114" s="5" t="s">
        <v>448</v>
      </c>
      <c r="C114" s="230">
        <f>438355+69287+123292+90400+13212</f>
        <v>734546</v>
      </c>
      <c r="D114" s="18"/>
      <c r="E114" s="18"/>
      <c r="F114" s="18"/>
      <c r="G114" s="18"/>
      <c r="H114" s="18"/>
      <c r="I114" s="18"/>
      <c r="J114" s="18"/>
      <c r="K114" s="9"/>
      <c r="L114" s="18"/>
      <c r="M114" s="18"/>
      <c r="N114" s="18">
        <v>5877</v>
      </c>
      <c r="O114" s="53"/>
      <c r="P114" s="53"/>
      <c r="Q114" s="126">
        <f t="shared" si="21"/>
        <v>740423</v>
      </c>
    </row>
    <row r="115" spans="1:17" ht="15">
      <c r="A115" s="250" t="s">
        <v>449</v>
      </c>
      <c r="B115" s="5" t="s">
        <v>450</v>
      </c>
      <c r="C115" s="230">
        <f>226716-800</f>
        <v>225916</v>
      </c>
      <c r="D115" s="18"/>
      <c r="E115" s="18"/>
      <c r="F115" s="18"/>
      <c r="G115" s="18"/>
      <c r="H115" s="18"/>
      <c r="I115" s="18"/>
      <c r="J115" s="18"/>
      <c r="K115" s="9"/>
      <c r="L115" s="18"/>
      <c r="M115" s="18"/>
      <c r="N115" s="18"/>
      <c r="O115" s="53"/>
      <c r="P115" s="53"/>
      <c r="Q115" s="126">
        <f t="shared" si="21"/>
        <v>225916</v>
      </c>
    </row>
    <row r="116" spans="1:17" ht="15">
      <c r="A116" s="250" t="s">
        <v>451</v>
      </c>
      <c r="B116" s="5" t="s">
        <v>452</v>
      </c>
      <c r="C116" s="230">
        <f>195119+62511+2040</f>
        <v>259670</v>
      </c>
      <c r="D116" s="18"/>
      <c r="E116" s="18"/>
      <c r="F116" s="18"/>
      <c r="G116" s="18"/>
      <c r="H116" s="18"/>
      <c r="I116" s="18"/>
      <c r="J116" s="18"/>
      <c r="K116" s="9"/>
      <c r="L116" s="18"/>
      <c r="M116" s="18"/>
      <c r="N116" s="18"/>
      <c r="O116" s="53"/>
      <c r="P116" s="53"/>
      <c r="Q116" s="126">
        <f t="shared" si="21"/>
        <v>259670</v>
      </c>
    </row>
    <row r="117" spans="1:17" ht="15">
      <c r="A117" s="250" t="s">
        <v>453</v>
      </c>
      <c r="B117" s="5" t="s">
        <v>454</v>
      </c>
      <c r="C117" s="230">
        <f>518481+2401+17489</f>
        <v>538371</v>
      </c>
      <c r="D117" s="18"/>
      <c r="E117" s="18"/>
      <c r="F117" s="18"/>
      <c r="G117" s="18"/>
      <c r="H117" s="18"/>
      <c r="I117" s="18"/>
      <c r="J117" s="18"/>
      <c r="K117" s="9"/>
      <c r="L117" s="18"/>
      <c r="M117" s="18"/>
      <c r="N117" s="18"/>
      <c r="O117" s="53"/>
      <c r="P117" s="53"/>
      <c r="Q117" s="126">
        <f t="shared" si="21"/>
        <v>538371</v>
      </c>
    </row>
    <row r="118" spans="1:17" ht="15">
      <c r="A118" s="250" t="s">
        <v>455</v>
      </c>
      <c r="B118" s="5" t="s">
        <v>456</v>
      </c>
      <c r="C118" s="283">
        <f>572251+13969</f>
        <v>586220</v>
      </c>
      <c r="D118" s="18"/>
      <c r="E118" s="18"/>
      <c r="F118" s="18"/>
      <c r="G118" s="18"/>
      <c r="H118" s="18"/>
      <c r="I118" s="18"/>
      <c r="J118" s="18"/>
      <c r="K118" s="9"/>
      <c r="L118" s="18"/>
      <c r="M118" s="18"/>
      <c r="N118" s="18"/>
      <c r="O118" s="53"/>
      <c r="P118" s="53"/>
      <c r="Q118" s="126">
        <f t="shared" si="21"/>
        <v>586220</v>
      </c>
    </row>
    <row r="119" spans="1:17" ht="15">
      <c r="A119" s="250" t="s">
        <v>457</v>
      </c>
      <c r="B119" s="5" t="s">
        <v>458</v>
      </c>
      <c r="C119" s="283">
        <f>105941-1500</f>
        <v>104441</v>
      </c>
      <c r="D119" s="18"/>
      <c r="E119" s="18"/>
      <c r="F119" s="18"/>
      <c r="G119" s="18"/>
      <c r="H119" s="18"/>
      <c r="I119" s="18"/>
      <c r="J119" s="18"/>
      <c r="K119" s="9"/>
      <c r="L119" s="18"/>
      <c r="M119" s="18"/>
      <c r="N119" s="18"/>
      <c r="O119" s="53"/>
      <c r="P119" s="53"/>
      <c r="Q119" s="126">
        <f t="shared" si="21"/>
        <v>104441</v>
      </c>
    </row>
    <row r="120" spans="1:17" ht="15">
      <c r="A120" s="250" t="s">
        <v>459</v>
      </c>
      <c r="B120" s="5" t="s">
        <v>460</v>
      </c>
      <c r="C120" s="21">
        <f>152498+595</f>
        <v>153093</v>
      </c>
      <c r="D120" s="18"/>
      <c r="E120" s="18"/>
      <c r="F120" s="18"/>
      <c r="G120" s="18"/>
      <c r="H120" s="18"/>
      <c r="I120" s="18"/>
      <c r="J120" s="18"/>
      <c r="K120" s="9"/>
      <c r="L120" s="18"/>
      <c r="M120" s="18"/>
      <c r="N120" s="18"/>
      <c r="O120" s="53"/>
      <c r="P120" s="53"/>
      <c r="Q120" s="126">
        <f t="shared" si="21"/>
        <v>153093</v>
      </c>
    </row>
    <row r="121" spans="1:17" ht="15">
      <c r="A121" s="250" t="s">
        <v>461</v>
      </c>
      <c r="B121" s="5" t="s">
        <v>462</v>
      </c>
      <c r="C121" s="21">
        <f>484353</f>
        <v>484353</v>
      </c>
      <c r="D121" s="18"/>
      <c r="E121" s="18"/>
      <c r="F121" s="18"/>
      <c r="G121" s="18"/>
      <c r="H121" s="18"/>
      <c r="I121" s="18"/>
      <c r="J121" s="18"/>
      <c r="K121" s="9"/>
      <c r="L121" s="18"/>
      <c r="M121" s="18"/>
      <c r="N121" s="18"/>
      <c r="O121" s="53"/>
      <c r="P121" s="53"/>
      <c r="Q121" s="126">
        <f t="shared" si="21"/>
        <v>484353</v>
      </c>
    </row>
    <row r="122" spans="1:17" ht="15">
      <c r="A122" s="250" t="s">
        <v>463</v>
      </c>
      <c r="B122" s="5" t="s">
        <v>464</v>
      </c>
      <c r="C122" s="230">
        <f>640105-325</f>
        <v>639780</v>
      </c>
      <c r="D122" s="18"/>
      <c r="E122" s="18"/>
      <c r="F122" s="18"/>
      <c r="G122" s="18"/>
      <c r="H122" s="18"/>
      <c r="I122" s="18"/>
      <c r="J122" s="18"/>
      <c r="K122" s="9"/>
      <c r="L122" s="18"/>
      <c r="M122" s="18"/>
      <c r="N122" s="18"/>
      <c r="O122" s="53"/>
      <c r="P122" s="53"/>
      <c r="Q122" s="126">
        <f t="shared" si="21"/>
        <v>639780</v>
      </c>
    </row>
    <row r="123" spans="1:17" ht="15">
      <c r="A123" s="145" t="s">
        <v>737</v>
      </c>
      <c r="B123" s="17" t="s">
        <v>152</v>
      </c>
      <c r="C123" s="245">
        <f>128927-2330-1000</f>
        <v>125597</v>
      </c>
      <c r="D123" s="53"/>
      <c r="E123" s="53"/>
      <c r="F123" s="53"/>
      <c r="G123" s="53"/>
      <c r="H123" s="18"/>
      <c r="I123" s="18"/>
      <c r="J123" s="18"/>
      <c r="K123" s="9"/>
      <c r="L123" s="53"/>
      <c r="M123" s="18"/>
      <c r="N123" s="18"/>
      <c r="O123" s="53"/>
      <c r="P123" s="53"/>
      <c r="Q123" s="126">
        <f t="shared" si="21"/>
        <v>125597</v>
      </c>
    </row>
    <row r="124" spans="1:17" ht="15">
      <c r="A124" s="145" t="s">
        <v>738</v>
      </c>
      <c r="B124" s="17" t="s">
        <v>157</v>
      </c>
      <c r="C124" s="245">
        <f>53802+6850+3000</f>
        <v>63652</v>
      </c>
      <c r="D124" s="53"/>
      <c r="E124" s="53"/>
      <c r="F124" s="53"/>
      <c r="G124" s="53"/>
      <c r="H124" s="18"/>
      <c r="I124" s="18"/>
      <c r="J124" s="18"/>
      <c r="K124" s="9"/>
      <c r="L124" s="53"/>
      <c r="M124" s="18"/>
      <c r="N124" s="18"/>
      <c r="O124" s="53"/>
      <c r="P124" s="53"/>
      <c r="Q124" s="126">
        <f t="shared" si="21"/>
        <v>63652</v>
      </c>
    </row>
    <row r="125" spans="1:17" ht="15">
      <c r="A125" s="145" t="s">
        <v>739</v>
      </c>
      <c r="B125" s="17" t="s">
        <v>160</v>
      </c>
      <c r="C125" s="245">
        <f>167319-26312-3000</f>
        <v>138007</v>
      </c>
      <c r="D125" s="53"/>
      <c r="E125" s="53"/>
      <c r="F125" s="53"/>
      <c r="G125" s="53"/>
      <c r="H125" s="18"/>
      <c r="I125" s="18"/>
      <c r="J125" s="18"/>
      <c r="K125" s="9"/>
      <c r="L125" s="53"/>
      <c r="M125" s="18"/>
      <c r="N125" s="18"/>
      <c r="O125" s="53"/>
      <c r="P125" s="53"/>
      <c r="Q125" s="126">
        <f t="shared" si="21"/>
        <v>138007</v>
      </c>
    </row>
    <row r="126" spans="1:17" ht="15">
      <c r="A126" s="145" t="s">
        <v>740</v>
      </c>
      <c r="B126" s="17" t="s">
        <v>153</v>
      </c>
      <c r="C126" s="245">
        <f>156100-12200</f>
        <v>143900</v>
      </c>
      <c r="D126" s="53"/>
      <c r="E126" s="53"/>
      <c r="F126" s="53"/>
      <c r="G126" s="53"/>
      <c r="H126" s="18"/>
      <c r="I126" s="18"/>
      <c r="J126" s="18"/>
      <c r="K126" s="9"/>
      <c r="L126" s="53"/>
      <c r="M126" s="18"/>
      <c r="N126" s="18"/>
      <c r="O126" s="53"/>
      <c r="P126" s="53"/>
      <c r="Q126" s="126">
        <f t="shared" si="21"/>
        <v>143900</v>
      </c>
    </row>
    <row r="127" spans="1:17" ht="15">
      <c r="A127" s="145" t="s">
        <v>741</v>
      </c>
      <c r="B127" s="17" t="s">
        <v>163</v>
      </c>
      <c r="C127" s="245">
        <f>157787-690</f>
        <v>157097</v>
      </c>
      <c r="D127" s="53"/>
      <c r="E127" s="53"/>
      <c r="F127" s="53"/>
      <c r="G127" s="53"/>
      <c r="H127" s="18"/>
      <c r="I127" s="18"/>
      <c r="J127" s="18"/>
      <c r="K127" s="9"/>
      <c r="L127" s="53"/>
      <c r="M127" s="18"/>
      <c r="N127" s="18"/>
      <c r="O127" s="53"/>
      <c r="P127" s="53"/>
      <c r="Q127" s="126">
        <f t="shared" si="21"/>
        <v>157097</v>
      </c>
    </row>
    <row r="128" spans="1:17" ht="15">
      <c r="A128" s="145" t="s">
        <v>742</v>
      </c>
      <c r="B128" s="17" t="s">
        <v>155</v>
      </c>
      <c r="C128" s="245">
        <f>70022+400</f>
        <v>70422</v>
      </c>
      <c r="D128" s="53"/>
      <c r="E128" s="53"/>
      <c r="F128" s="53"/>
      <c r="G128" s="53"/>
      <c r="H128" s="18"/>
      <c r="I128" s="18"/>
      <c r="J128" s="18"/>
      <c r="K128" s="9"/>
      <c r="L128" s="53"/>
      <c r="M128" s="18"/>
      <c r="N128" s="18"/>
      <c r="O128" s="53"/>
      <c r="P128" s="53"/>
      <c r="Q128" s="126">
        <f t="shared" si="21"/>
        <v>70422</v>
      </c>
    </row>
    <row r="129" spans="1:17" ht="15">
      <c r="A129" s="145" t="s">
        <v>743</v>
      </c>
      <c r="B129" s="17" t="s">
        <v>154</v>
      </c>
      <c r="C129" s="245">
        <f>49372+7050</f>
        <v>56422</v>
      </c>
      <c r="D129" s="53"/>
      <c r="E129" s="53"/>
      <c r="F129" s="53"/>
      <c r="G129" s="53"/>
      <c r="H129" s="18"/>
      <c r="I129" s="18"/>
      <c r="J129" s="18"/>
      <c r="K129" s="9"/>
      <c r="L129" s="53"/>
      <c r="M129" s="18"/>
      <c r="N129" s="18"/>
      <c r="O129" s="53"/>
      <c r="P129" s="53"/>
      <c r="Q129" s="126">
        <f t="shared" si="21"/>
        <v>56422</v>
      </c>
    </row>
    <row r="130" spans="1:17" ht="15">
      <c r="A130" s="145" t="s">
        <v>744</v>
      </c>
      <c r="B130" s="17" t="s">
        <v>159</v>
      </c>
      <c r="C130" s="245">
        <f>74614+7588</f>
        <v>82202</v>
      </c>
      <c r="D130" s="53"/>
      <c r="E130" s="53"/>
      <c r="F130" s="53"/>
      <c r="G130" s="53"/>
      <c r="H130" s="18"/>
      <c r="I130" s="18"/>
      <c r="J130" s="18"/>
      <c r="K130" s="9"/>
      <c r="L130" s="53"/>
      <c r="M130" s="18"/>
      <c r="N130" s="18"/>
      <c r="O130" s="53"/>
      <c r="P130" s="53"/>
      <c r="Q130" s="126">
        <f t="shared" si="21"/>
        <v>82202</v>
      </c>
    </row>
    <row r="131" spans="1:17" ht="30">
      <c r="A131" s="12" t="s">
        <v>309</v>
      </c>
      <c r="B131" s="154" t="s">
        <v>310</v>
      </c>
      <c r="C131" s="245">
        <f>1683815+22740</f>
        <v>1706555</v>
      </c>
      <c r="D131" s="53"/>
      <c r="E131" s="53"/>
      <c r="F131" s="53"/>
      <c r="G131" s="53"/>
      <c r="H131" s="18"/>
      <c r="I131" s="18"/>
      <c r="J131" s="18"/>
      <c r="K131" s="9"/>
      <c r="L131" s="53"/>
      <c r="M131" s="18"/>
      <c r="N131" s="18"/>
      <c r="O131" s="53"/>
      <c r="P131" s="53"/>
      <c r="Q131" s="126">
        <f t="shared" si="21"/>
        <v>1706555</v>
      </c>
    </row>
    <row r="132" spans="1:17" ht="30">
      <c r="A132" s="227" t="s">
        <v>595</v>
      </c>
      <c r="B132" s="211" t="s">
        <v>382</v>
      </c>
      <c r="C132" s="230">
        <v>1112835</v>
      </c>
      <c r="D132" s="53"/>
      <c r="E132" s="53"/>
      <c r="F132" s="53"/>
      <c r="G132" s="53"/>
      <c r="H132" s="18"/>
      <c r="I132" s="18"/>
      <c r="J132" s="18"/>
      <c r="K132" s="9"/>
      <c r="L132" s="53"/>
      <c r="M132" s="18"/>
      <c r="N132" s="18"/>
      <c r="O132" s="53"/>
      <c r="P132" s="53"/>
      <c r="Q132" s="126">
        <f t="shared" si="21"/>
        <v>1112835</v>
      </c>
    </row>
    <row r="133" spans="1:17" ht="30">
      <c r="A133" s="227" t="s">
        <v>465</v>
      </c>
      <c r="B133" s="16" t="s">
        <v>466</v>
      </c>
      <c r="C133" s="230">
        <v>539840</v>
      </c>
      <c r="D133" s="53"/>
      <c r="E133" s="53"/>
      <c r="F133" s="53"/>
      <c r="G133" s="53"/>
      <c r="H133" s="18"/>
      <c r="I133" s="18"/>
      <c r="J133" s="18"/>
      <c r="K133" s="9"/>
      <c r="L133" s="53"/>
      <c r="M133" s="18"/>
      <c r="N133" s="18"/>
      <c r="O133" s="53"/>
      <c r="P133" s="53"/>
      <c r="Q133" s="126">
        <f t="shared" si="21"/>
        <v>539840</v>
      </c>
    </row>
    <row r="134" spans="1:17" ht="30">
      <c r="A134" s="227" t="s">
        <v>467</v>
      </c>
      <c r="B134" s="16" t="s">
        <v>468</v>
      </c>
      <c r="C134" s="230">
        <v>422591</v>
      </c>
      <c r="D134" s="53"/>
      <c r="E134" s="53"/>
      <c r="F134" s="53"/>
      <c r="G134" s="53"/>
      <c r="H134" s="18"/>
      <c r="I134" s="18"/>
      <c r="J134" s="18"/>
      <c r="K134" s="9"/>
      <c r="L134" s="53"/>
      <c r="M134" s="18"/>
      <c r="N134" s="18"/>
      <c r="O134" s="53"/>
      <c r="P134" s="53"/>
      <c r="Q134" s="126">
        <f t="shared" si="21"/>
        <v>422591</v>
      </c>
    </row>
    <row r="135" spans="1:17" ht="15.75">
      <c r="A135" s="12" t="s">
        <v>331</v>
      </c>
      <c r="B135" s="14" t="s">
        <v>401</v>
      </c>
      <c r="C135" s="246"/>
      <c r="D135" s="53"/>
      <c r="E135" s="53"/>
      <c r="F135" s="53"/>
      <c r="G135" s="53"/>
      <c r="H135" s="53"/>
      <c r="I135" s="53"/>
      <c r="J135" s="53"/>
      <c r="K135" s="129"/>
      <c r="L135" s="53"/>
      <c r="M135" s="53"/>
      <c r="N135" s="53"/>
      <c r="O135" s="53"/>
      <c r="P135" s="53"/>
      <c r="Q135" s="126">
        <f t="shared" si="21"/>
        <v>0</v>
      </c>
    </row>
    <row r="136" spans="1:17" ht="15.75">
      <c r="A136" s="12" t="s">
        <v>351</v>
      </c>
      <c r="B136" s="201" t="s">
        <v>352</v>
      </c>
      <c r="C136" s="246"/>
      <c r="D136" s="53"/>
      <c r="E136" s="53"/>
      <c r="F136" s="53"/>
      <c r="G136" s="53"/>
      <c r="H136" s="53">
        <v>2732</v>
      </c>
      <c r="I136" s="53"/>
      <c r="J136" s="53"/>
      <c r="K136" s="129"/>
      <c r="L136" s="53"/>
      <c r="M136" s="53"/>
      <c r="N136" s="53"/>
      <c r="O136" s="53"/>
      <c r="P136" s="53"/>
      <c r="Q136" s="126">
        <f t="shared" si="21"/>
        <v>2732</v>
      </c>
    </row>
    <row r="137" spans="1:17" ht="45">
      <c r="A137" s="12" t="s">
        <v>362</v>
      </c>
      <c r="B137" s="211" t="s">
        <v>363</v>
      </c>
      <c r="C137" s="246">
        <v>11467</v>
      </c>
      <c r="D137" s="53"/>
      <c r="E137" s="53"/>
      <c r="F137" s="53"/>
      <c r="G137" s="53"/>
      <c r="H137" s="53"/>
      <c r="I137" s="53"/>
      <c r="J137" s="53"/>
      <c r="K137" s="129"/>
      <c r="L137" s="53"/>
      <c r="M137" s="53"/>
      <c r="N137" s="53"/>
      <c r="O137" s="53"/>
      <c r="P137" s="53"/>
      <c r="Q137" s="126">
        <f t="shared" si="21"/>
        <v>11467</v>
      </c>
    </row>
    <row r="138" spans="1:17" ht="15">
      <c r="A138" s="12" t="s">
        <v>469</v>
      </c>
      <c r="B138" s="251" t="s">
        <v>470</v>
      </c>
      <c r="C138" s="21">
        <v>6292</v>
      </c>
      <c r="D138" s="18"/>
      <c r="E138" s="18"/>
      <c r="F138" s="18"/>
      <c r="G138" s="18"/>
      <c r="H138" s="18"/>
      <c r="I138" s="18"/>
      <c r="J138" s="18"/>
      <c r="K138" s="9"/>
      <c r="L138" s="18"/>
      <c r="M138" s="18"/>
      <c r="N138" s="18"/>
      <c r="O138" s="18"/>
      <c r="P138" s="53"/>
      <c r="Q138" s="126">
        <f t="shared" si="21"/>
        <v>6292</v>
      </c>
    </row>
    <row r="139" spans="1:17" ht="60.75" thickBot="1">
      <c r="A139" s="12" t="s">
        <v>784</v>
      </c>
      <c r="B139" s="16" t="s">
        <v>785</v>
      </c>
      <c r="C139" s="21">
        <v>123530</v>
      </c>
      <c r="D139" s="18"/>
      <c r="E139" s="18"/>
      <c r="F139" s="18"/>
      <c r="G139" s="18"/>
      <c r="H139" s="18"/>
      <c r="I139" s="18"/>
      <c r="J139" s="18"/>
      <c r="K139" s="9"/>
      <c r="L139" s="18"/>
      <c r="M139" s="18"/>
      <c r="N139" s="18"/>
      <c r="O139" s="18"/>
      <c r="P139" s="53"/>
      <c r="Q139" s="126">
        <f t="shared" si="21"/>
        <v>123530</v>
      </c>
    </row>
    <row r="140" spans="1:17" ht="15.75" thickBot="1">
      <c r="A140" s="80" t="s">
        <v>4</v>
      </c>
      <c r="B140" s="44" t="s">
        <v>79</v>
      </c>
      <c r="C140" s="46">
        <f>SUM(C141,C144:C146)</f>
        <v>304852</v>
      </c>
      <c r="D140" s="46">
        <f aca="true" t="shared" si="22" ref="D140:P140">SUM(D141,D144:D146)</f>
        <v>0</v>
      </c>
      <c r="E140" s="46">
        <f t="shared" si="22"/>
        <v>0</v>
      </c>
      <c r="F140" s="46">
        <f t="shared" si="22"/>
        <v>0</v>
      </c>
      <c r="G140" s="46">
        <f t="shared" si="22"/>
        <v>0</v>
      </c>
      <c r="H140" s="46">
        <f t="shared" si="22"/>
        <v>1214</v>
      </c>
      <c r="I140" s="46">
        <f t="shared" si="22"/>
        <v>0</v>
      </c>
      <c r="J140" s="46">
        <f t="shared" si="22"/>
        <v>0</v>
      </c>
      <c r="K140" s="46">
        <f t="shared" si="22"/>
        <v>0</v>
      </c>
      <c r="L140" s="46">
        <f t="shared" si="22"/>
        <v>2327</v>
      </c>
      <c r="M140" s="46">
        <f t="shared" si="22"/>
        <v>22043</v>
      </c>
      <c r="N140" s="46">
        <f t="shared" si="22"/>
        <v>29</v>
      </c>
      <c r="O140" s="46">
        <f t="shared" si="22"/>
        <v>1402</v>
      </c>
      <c r="P140" s="46">
        <f t="shared" si="22"/>
        <v>0</v>
      </c>
      <c r="Q140" s="47">
        <f>SUM(Q141,Q144:Q146)</f>
        <v>331867</v>
      </c>
    </row>
    <row r="141" spans="1:17" s="184" customFormat="1" ht="14.25">
      <c r="A141" s="118" t="s">
        <v>80</v>
      </c>
      <c r="B141" s="119" t="s">
        <v>81</v>
      </c>
      <c r="C141" s="239">
        <f>SUM(C142:C143)</f>
        <v>30623</v>
      </c>
      <c r="D141" s="239">
        <f aca="true" t="shared" si="23" ref="D141:O141">SUM(D142:D143)</f>
        <v>0</v>
      </c>
      <c r="E141" s="239">
        <f t="shared" si="23"/>
        <v>0</v>
      </c>
      <c r="F141" s="239">
        <f t="shared" si="23"/>
        <v>0</v>
      </c>
      <c r="G141" s="239">
        <f t="shared" si="23"/>
        <v>0</v>
      </c>
      <c r="H141" s="239">
        <f t="shared" si="23"/>
        <v>1214</v>
      </c>
      <c r="I141" s="239">
        <f t="shared" si="23"/>
        <v>0</v>
      </c>
      <c r="J141" s="239">
        <f t="shared" si="23"/>
        <v>0</v>
      </c>
      <c r="K141" s="239">
        <f t="shared" si="23"/>
        <v>0</v>
      </c>
      <c r="L141" s="239">
        <f t="shared" si="23"/>
        <v>2327</v>
      </c>
      <c r="M141" s="239">
        <f t="shared" si="23"/>
        <v>22043</v>
      </c>
      <c r="N141" s="239">
        <f t="shared" si="23"/>
        <v>29</v>
      </c>
      <c r="O141" s="239">
        <f t="shared" si="23"/>
        <v>1402</v>
      </c>
      <c r="P141" s="239">
        <f>SUM(P142:P143)</f>
        <v>0</v>
      </c>
      <c r="Q141" s="51">
        <f>SUM(C141:P141)</f>
        <v>57638</v>
      </c>
    </row>
    <row r="142" spans="1:17" s="184" customFormat="1" ht="15">
      <c r="A142" s="52" t="s">
        <v>278</v>
      </c>
      <c r="B142" s="25" t="s">
        <v>787</v>
      </c>
      <c r="C142" s="240">
        <f>13690+8450</f>
        <v>22140</v>
      </c>
      <c r="D142" s="120"/>
      <c r="E142" s="120"/>
      <c r="F142" s="120"/>
      <c r="G142" s="120"/>
      <c r="H142" s="86">
        <v>1214</v>
      </c>
      <c r="I142" s="120"/>
      <c r="J142" s="120"/>
      <c r="K142" s="120"/>
      <c r="L142" s="86">
        <v>2327</v>
      </c>
      <c r="M142" s="120">
        <v>22043</v>
      </c>
      <c r="N142" s="34">
        <v>29</v>
      </c>
      <c r="O142" s="75">
        <v>1402</v>
      </c>
      <c r="P142" s="53"/>
      <c r="Q142" s="126">
        <f>SUM(C142:P142)</f>
        <v>49155</v>
      </c>
    </row>
    <row r="143" spans="1:17" s="184" customFormat="1" ht="15">
      <c r="A143" s="52" t="s">
        <v>745</v>
      </c>
      <c r="B143" s="25" t="s">
        <v>746</v>
      </c>
      <c r="C143" s="240">
        <v>8483</v>
      </c>
      <c r="D143" s="120"/>
      <c r="E143" s="120"/>
      <c r="F143" s="120"/>
      <c r="G143" s="120"/>
      <c r="H143" s="86"/>
      <c r="I143" s="120"/>
      <c r="J143" s="120"/>
      <c r="K143" s="120"/>
      <c r="L143" s="86"/>
      <c r="M143" s="120"/>
      <c r="N143" s="34"/>
      <c r="O143" s="75"/>
      <c r="P143" s="53"/>
      <c r="Q143" s="126">
        <f>SUM(C143:P143)</f>
        <v>8483</v>
      </c>
    </row>
    <row r="144" spans="1:17" s="184" customFormat="1" ht="28.5" customHeight="1">
      <c r="A144" s="227" t="s">
        <v>265</v>
      </c>
      <c r="B144" s="10" t="s">
        <v>471</v>
      </c>
      <c r="C144" s="240">
        <f>134645+9500+335</f>
        <v>144480</v>
      </c>
      <c r="D144" s="120"/>
      <c r="E144" s="120"/>
      <c r="F144" s="120"/>
      <c r="G144" s="120"/>
      <c r="H144" s="86"/>
      <c r="I144" s="120"/>
      <c r="J144" s="120"/>
      <c r="K144" s="120"/>
      <c r="L144" s="86"/>
      <c r="M144" s="120"/>
      <c r="N144" s="34"/>
      <c r="O144" s="75"/>
      <c r="P144" s="53"/>
      <c r="Q144" s="126">
        <f aca="true" t="shared" si="24" ref="Q144:Q218">SUM(C144:P144)</f>
        <v>144480</v>
      </c>
    </row>
    <row r="145" spans="1:17" ht="15">
      <c r="A145" s="227" t="s">
        <v>308</v>
      </c>
      <c r="B145" s="10" t="s">
        <v>472</v>
      </c>
      <c r="C145" s="246">
        <v>48740</v>
      </c>
      <c r="D145" s="18"/>
      <c r="E145" s="53"/>
      <c r="F145" s="53"/>
      <c r="G145" s="53"/>
      <c r="H145" s="18"/>
      <c r="I145" s="18"/>
      <c r="J145" s="18"/>
      <c r="K145" s="18"/>
      <c r="L145" s="18"/>
      <c r="M145" s="18"/>
      <c r="N145" s="18"/>
      <c r="O145" s="53"/>
      <c r="P145" s="53"/>
      <c r="Q145" s="126">
        <f t="shared" si="24"/>
        <v>48740</v>
      </c>
    </row>
    <row r="146" spans="1:17" ht="45.75" thickBot="1">
      <c r="A146" s="227" t="s">
        <v>473</v>
      </c>
      <c r="B146" s="10" t="s">
        <v>474</v>
      </c>
      <c r="C146" s="246">
        <f>81344-335</f>
        <v>81009</v>
      </c>
      <c r="D146" s="18"/>
      <c r="E146" s="53"/>
      <c r="F146" s="53"/>
      <c r="G146" s="53"/>
      <c r="H146" s="18"/>
      <c r="I146" s="18"/>
      <c r="J146" s="18"/>
      <c r="K146" s="18"/>
      <c r="L146" s="18"/>
      <c r="M146" s="18"/>
      <c r="N146" s="18"/>
      <c r="O146" s="53"/>
      <c r="P146" s="53"/>
      <c r="Q146" s="126">
        <f t="shared" si="24"/>
        <v>81009</v>
      </c>
    </row>
    <row r="147" spans="1:17" ht="15.75" thickBot="1">
      <c r="A147" s="80" t="s">
        <v>6</v>
      </c>
      <c r="B147" s="44" t="s">
        <v>82</v>
      </c>
      <c r="C147" s="46">
        <f>C148+C153+C210+C213</f>
        <v>7397344</v>
      </c>
      <c r="D147" s="46">
        <f aca="true" t="shared" si="25" ref="D147:P147">D148+D153+D210+D213</f>
        <v>359024</v>
      </c>
      <c r="E147" s="46">
        <f t="shared" si="25"/>
        <v>2224521</v>
      </c>
      <c r="F147" s="46">
        <f t="shared" si="25"/>
        <v>0</v>
      </c>
      <c r="G147" s="46">
        <f t="shared" si="25"/>
        <v>0</v>
      </c>
      <c r="H147" s="46">
        <f t="shared" si="25"/>
        <v>163120</v>
      </c>
      <c r="I147" s="46">
        <f t="shared" si="25"/>
        <v>85479</v>
      </c>
      <c r="J147" s="46">
        <f t="shared" si="25"/>
        <v>110944</v>
      </c>
      <c r="K147" s="46">
        <f t="shared" si="25"/>
        <v>160040</v>
      </c>
      <c r="L147" s="46">
        <f t="shared" si="25"/>
        <v>22371</v>
      </c>
      <c r="M147" s="46">
        <f t="shared" si="25"/>
        <v>22008</v>
      </c>
      <c r="N147" s="46">
        <f t="shared" si="25"/>
        <v>81609</v>
      </c>
      <c r="O147" s="46">
        <f t="shared" si="25"/>
        <v>60084</v>
      </c>
      <c r="P147" s="46">
        <f t="shared" si="25"/>
        <v>0</v>
      </c>
      <c r="Q147" s="47">
        <f>SUM(C147:P147)</f>
        <v>10686544</v>
      </c>
    </row>
    <row r="148" spans="1:17" ht="15">
      <c r="A148" s="118" t="s">
        <v>83</v>
      </c>
      <c r="B148" s="119" t="s">
        <v>84</v>
      </c>
      <c r="C148" s="120">
        <f>SUM(C149:C152)</f>
        <v>1082562</v>
      </c>
      <c r="D148" s="120">
        <f aca="true" t="shared" si="26" ref="D148:P148">SUM(D149:D152)</f>
        <v>359024</v>
      </c>
      <c r="E148" s="120">
        <f t="shared" si="26"/>
        <v>0</v>
      </c>
      <c r="F148" s="120">
        <f t="shared" si="26"/>
        <v>0</v>
      </c>
      <c r="G148" s="120">
        <f t="shared" si="26"/>
        <v>0</v>
      </c>
      <c r="H148" s="120">
        <f t="shared" si="26"/>
        <v>0</v>
      </c>
      <c r="I148" s="120">
        <f t="shared" si="26"/>
        <v>0</v>
      </c>
      <c r="J148" s="120">
        <f t="shared" si="26"/>
        <v>0</v>
      </c>
      <c r="K148" s="120">
        <f t="shared" si="26"/>
        <v>3148</v>
      </c>
      <c r="L148" s="120">
        <f t="shared" si="26"/>
        <v>0</v>
      </c>
      <c r="M148" s="120">
        <f t="shared" si="26"/>
        <v>0</v>
      </c>
      <c r="N148" s="120">
        <f t="shared" si="26"/>
        <v>10835</v>
      </c>
      <c r="O148" s="120">
        <f t="shared" si="26"/>
        <v>0</v>
      </c>
      <c r="P148" s="120">
        <f t="shared" si="26"/>
        <v>0</v>
      </c>
      <c r="Q148" s="123">
        <f t="shared" si="24"/>
        <v>1455569</v>
      </c>
    </row>
    <row r="149" spans="1:17" ht="15">
      <c r="A149" s="52" t="s">
        <v>196</v>
      </c>
      <c r="B149" s="25" t="s">
        <v>597</v>
      </c>
      <c r="C149" s="129">
        <f>159448+21000-3100</f>
        <v>177348</v>
      </c>
      <c r="D149" s="18"/>
      <c r="E149" s="53"/>
      <c r="F149" s="53"/>
      <c r="G149" s="53"/>
      <c r="H149" s="18"/>
      <c r="I149" s="18"/>
      <c r="J149" s="18"/>
      <c r="K149" s="18">
        <v>3148</v>
      </c>
      <c r="L149" s="18"/>
      <c r="M149" s="18"/>
      <c r="N149" s="18">
        <v>10835</v>
      </c>
      <c r="O149" s="53"/>
      <c r="P149" s="53"/>
      <c r="Q149" s="126">
        <f t="shared" si="24"/>
        <v>191331</v>
      </c>
    </row>
    <row r="150" spans="1:17" ht="30">
      <c r="A150" s="52" t="s">
        <v>197</v>
      </c>
      <c r="B150" s="25" t="s">
        <v>598</v>
      </c>
      <c r="C150" s="129">
        <f>527727+40000+247600-4420</f>
        <v>810907</v>
      </c>
      <c r="D150" s="18"/>
      <c r="E150" s="53"/>
      <c r="F150" s="53"/>
      <c r="G150" s="53"/>
      <c r="H150" s="18"/>
      <c r="I150" s="18"/>
      <c r="J150" s="18"/>
      <c r="K150" s="18"/>
      <c r="L150" s="18"/>
      <c r="M150" s="18"/>
      <c r="N150" s="18"/>
      <c r="O150" s="53"/>
      <c r="P150" s="53"/>
      <c r="Q150" s="126">
        <f t="shared" si="24"/>
        <v>810907</v>
      </c>
    </row>
    <row r="151" spans="1:17" ht="15">
      <c r="A151" s="52" t="s">
        <v>654</v>
      </c>
      <c r="B151" s="25" t="s">
        <v>655</v>
      </c>
      <c r="C151" s="129">
        <v>94307</v>
      </c>
      <c r="D151" s="53"/>
      <c r="E151" s="53"/>
      <c r="F151" s="53"/>
      <c r="G151" s="53"/>
      <c r="H151" s="18"/>
      <c r="I151" s="53"/>
      <c r="J151" s="53"/>
      <c r="K151" s="53"/>
      <c r="L151" s="53"/>
      <c r="M151" s="53"/>
      <c r="N151" s="53"/>
      <c r="O151" s="53"/>
      <c r="P151" s="53"/>
      <c r="Q151" s="126">
        <f t="shared" si="24"/>
        <v>94307</v>
      </c>
    </row>
    <row r="152" spans="1:17" ht="15">
      <c r="A152" s="52" t="s">
        <v>256</v>
      </c>
      <c r="B152" s="25" t="s">
        <v>475</v>
      </c>
      <c r="C152" s="53"/>
      <c r="D152" s="53">
        <v>359024</v>
      </c>
      <c r="E152" s="53"/>
      <c r="F152" s="53"/>
      <c r="G152" s="53"/>
      <c r="H152" s="18"/>
      <c r="I152" s="53"/>
      <c r="J152" s="53"/>
      <c r="K152" s="53"/>
      <c r="L152" s="53"/>
      <c r="M152" s="53"/>
      <c r="N152" s="53"/>
      <c r="O152" s="53"/>
      <c r="P152" s="53"/>
      <c r="Q152" s="126">
        <f t="shared" si="24"/>
        <v>359024</v>
      </c>
    </row>
    <row r="153" spans="1:17" ht="15">
      <c r="A153" s="125" t="s">
        <v>85</v>
      </c>
      <c r="B153" s="127" t="s">
        <v>5</v>
      </c>
      <c r="C153" s="91">
        <f>SUM(C154+C172+C178+C197)</f>
        <v>6055387</v>
      </c>
      <c r="D153" s="91">
        <f aca="true" t="shared" si="27" ref="D153:P153">SUM(D154+D172+D178+D197)</f>
        <v>0</v>
      </c>
      <c r="E153" s="91">
        <f t="shared" si="27"/>
        <v>2224521</v>
      </c>
      <c r="F153" s="91">
        <f t="shared" si="27"/>
        <v>0</v>
      </c>
      <c r="G153" s="91">
        <f t="shared" si="27"/>
        <v>0</v>
      </c>
      <c r="H153" s="91">
        <f t="shared" si="27"/>
        <v>163120</v>
      </c>
      <c r="I153" s="91">
        <f t="shared" si="27"/>
        <v>85479</v>
      </c>
      <c r="J153" s="91">
        <f t="shared" si="27"/>
        <v>110944</v>
      </c>
      <c r="K153" s="91">
        <f t="shared" si="27"/>
        <v>156892</v>
      </c>
      <c r="L153" s="91">
        <f t="shared" si="27"/>
        <v>22371</v>
      </c>
      <c r="M153" s="91">
        <f t="shared" si="27"/>
        <v>22008</v>
      </c>
      <c r="N153" s="91">
        <f t="shared" si="27"/>
        <v>70774</v>
      </c>
      <c r="O153" s="91">
        <f t="shared" si="27"/>
        <v>60084</v>
      </c>
      <c r="P153" s="91">
        <f t="shared" si="27"/>
        <v>0</v>
      </c>
      <c r="Q153" s="126">
        <f>SUM(C153:P153)</f>
        <v>8971580</v>
      </c>
    </row>
    <row r="154" spans="1:17" ht="15">
      <c r="A154" s="252" t="s">
        <v>476</v>
      </c>
      <c r="B154" s="25" t="s">
        <v>127</v>
      </c>
      <c r="C154" s="53">
        <f>SUM(C155:C171)</f>
        <v>1296738</v>
      </c>
      <c r="D154" s="53">
        <f aca="true" t="shared" si="28" ref="D154:P154">SUM(D155:D171)</f>
        <v>0</v>
      </c>
      <c r="E154" s="53">
        <f t="shared" si="28"/>
        <v>0</v>
      </c>
      <c r="F154" s="53">
        <f t="shared" si="28"/>
        <v>0</v>
      </c>
      <c r="G154" s="53">
        <f t="shared" si="28"/>
        <v>0</v>
      </c>
      <c r="H154" s="53">
        <f t="shared" si="28"/>
        <v>25295</v>
      </c>
      <c r="I154" s="53">
        <f t="shared" si="28"/>
        <v>21387</v>
      </c>
      <c r="J154" s="53">
        <f t="shared" si="28"/>
        <v>11884</v>
      </c>
      <c r="K154" s="53">
        <f t="shared" si="28"/>
        <v>22395</v>
      </c>
      <c r="L154" s="53">
        <f t="shared" si="28"/>
        <v>8319</v>
      </c>
      <c r="M154" s="53">
        <f t="shared" si="28"/>
        <v>10916</v>
      </c>
      <c r="N154" s="53">
        <f t="shared" si="28"/>
        <v>14867</v>
      </c>
      <c r="O154" s="53">
        <f t="shared" si="28"/>
        <v>12758</v>
      </c>
      <c r="P154" s="53">
        <f t="shared" si="28"/>
        <v>0</v>
      </c>
      <c r="Q154" s="126">
        <f>SUM(C154:P154)</f>
        <v>1424559</v>
      </c>
    </row>
    <row r="155" spans="1:17" ht="15">
      <c r="A155" s="250" t="s">
        <v>291</v>
      </c>
      <c r="B155" s="5" t="s">
        <v>477</v>
      </c>
      <c r="C155" s="53">
        <f>669570+2860+682+2900</f>
        <v>676012</v>
      </c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126">
        <f t="shared" si="24"/>
        <v>676012</v>
      </c>
    </row>
    <row r="156" spans="1:17" ht="15">
      <c r="A156" s="250" t="s">
        <v>478</v>
      </c>
      <c r="B156" s="5" t="s">
        <v>479</v>
      </c>
      <c r="C156" s="244"/>
      <c r="D156" s="53"/>
      <c r="E156" s="53"/>
      <c r="F156" s="53"/>
      <c r="G156" s="53"/>
      <c r="H156" s="207">
        <v>25295</v>
      </c>
      <c r="I156" s="18">
        <v>21387</v>
      </c>
      <c r="J156" s="18">
        <v>11884</v>
      </c>
      <c r="K156" s="18">
        <v>22395</v>
      </c>
      <c r="L156" s="18">
        <v>8319</v>
      </c>
      <c r="M156" s="18">
        <v>10916</v>
      </c>
      <c r="N156" s="200">
        <v>14867</v>
      </c>
      <c r="O156" s="18">
        <v>12758</v>
      </c>
      <c r="P156" s="53"/>
      <c r="Q156" s="126">
        <f t="shared" si="24"/>
        <v>127821</v>
      </c>
    </row>
    <row r="157" spans="1:17" ht="15">
      <c r="A157" s="250" t="s">
        <v>480</v>
      </c>
      <c r="B157" s="25" t="s">
        <v>481</v>
      </c>
      <c r="C157" s="53">
        <f>124901+250</f>
        <v>125151</v>
      </c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126">
        <f t="shared" si="24"/>
        <v>125151</v>
      </c>
    </row>
    <row r="158" spans="1:17" ht="15">
      <c r="A158" s="250" t="s">
        <v>482</v>
      </c>
      <c r="B158" s="25" t="s">
        <v>483</v>
      </c>
      <c r="C158" s="53">
        <f>28779</f>
        <v>28779</v>
      </c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126">
        <f t="shared" si="24"/>
        <v>28779</v>
      </c>
    </row>
    <row r="159" spans="1:17" ht="30">
      <c r="A159" s="250" t="s">
        <v>484</v>
      </c>
      <c r="B159" s="25" t="s">
        <v>485</v>
      </c>
      <c r="C159" s="53">
        <v>132318</v>
      </c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126">
        <f t="shared" si="24"/>
        <v>132318</v>
      </c>
    </row>
    <row r="160" spans="1:17" ht="15">
      <c r="A160" s="250" t="s">
        <v>486</v>
      </c>
      <c r="B160" s="25" t="s">
        <v>487</v>
      </c>
      <c r="C160" s="53">
        <v>28048</v>
      </c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126">
        <f t="shared" si="24"/>
        <v>28048</v>
      </c>
    </row>
    <row r="161" spans="1:17" ht="15">
      <c r="A161" s="250" t="s">
        <v>488</v>
      </c>
      <c r="B161" s="25" t="s">
        <v>489</v>
      </c>
      <c r="C161" s="129">
        <v>23336</v>
      </c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126">
        <f t="shared" si="24"/>
        <v>23336</v>
      </c>
    </row>
    <row r="162" spans="1:17" ht="15">
      <c r="A162" s="250" t="s">
        <v>490</v>
      </c>
      <c r="B162" s="25" t="s">
        <v>491</v>
      </c>
      <c r="C162" s="129">
        <v>41418</v>
      </c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126">
        <f t="shared" si="24"/>
        <v>41418</v>
      </c>
    </row>
    <row r="163" spans="1:17" ht="15">
      <c r="A163" s="250" t="s">
        <v>492</v>
      </c>
      <c r="B163" s="25" t="s">
        <v>493</v>
      </c>
      <c r="C163" s="129">
        <f>148118+700</f>
        <v>148818</v>
      </c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126">
        <f t="shared" si="24"/>
        <v>148818</v>
      </c>
    </row>
    <row r="164" spans="1:17" ht="15">
      <c r="A164" s="145" t="s">
        <v>747</v>
      </c>
      <c r="B164" s="25" t="s">
        <v>748</v>
      </c>
      <c r="C164" s="129">
        <f>13313+1000</f>
        <v>14313</v>
      </c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126">
        <f>SUM(C164:P164)</f>
        <v>14313</v>
      </c>
    </row>
    <row r="165" spans="1:17" ht="15">
      <c r="A165" s="145" t="s">
        <v>749</v>
      </c>
      <c r="B165" s="25" t="s">
        <v>750</v>
      </c>
      <c r="C165" s="129">
        <v>15210</v>
      </c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126">
        <f>SUM(C165:P165)</f>
        <v>15210</v>
      </c>
    </row>
    <row r="166" spans="1:17" ht="15">
      <c r="A166" s="145" t="s">
        <v>751</v>
      </c>
      <c r="B166" s="25" t="s">
        <v>752</v>
      </c>
      <c r="C166" s="129">
        <v>8491</v>
      </c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126">
        <f t="shared" si="24"/>
        <v>8491</v>
      </c>
    </row>
    <row r="167" spans="1:17" ht="15">
      <c r="A167" s="145" t="s">
        <v>753</v>
      </c>
      <c r="B167" s="25" t="s">
        <v>754</v>
      </c>
      <c r="C167" s="129">
        <v>16603</v>
      </c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126">
        <f t="shared" si="24"/>
        <v>16603</v>
      </c>
    </row>
    <row r="168" spans="1:17" ht="15">
      <c r="A168" s="145" t="s">
        <v>755</v>
      </c>
      <c r="B168" s="25" t="s">
        <v>756</v>
      </c>
      <c r="C168" s="129">
        <f>11278+690</f>
        <v>11968</v>
      </c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126">
        <f t="shared" si="24"/>
        <v>11968</v>
      </c>
    </row>
    <row r="169" spans="1:17" ht="15">
      <c r="A169" s="145" t="s">
        <v>757</v>
      </c>
      <c r="B169" s="25" t="s">
        <v>758</v>
      </c>
      <c r="C169" s="129">
        <v>10006</v>
      </c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126">
        <f>SUM(C169:P169)</f>
        <v>10006</v>
      </c>
    </row>
    <row r="170" spans="1:17" ht="15">
      <c r="A170" s="145" t="s">
        <v>759</v>
      </c>
      <c r="B170" s="25" t="s">
        <v>760</v>
      </c>
      <c r="C170" s="129">
        <v>8232</v>
      </c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126">
        <f t="shared" si="24"/>
        <v>8232</v>
      </c>
    </row>
    <row r="171" spans="1:17" ht="15">
      <c r="A171" s="145" t="s">
        <v>761</v>
      </c>
      <c r="B171" s="25" t="s">
        <v>762</v>
      </c>
      <c r="C171" s="129">
        <v>8035</v>
      </c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126">
        <f t="shared" si="24"/>
        <v>8035</v>
      </c>
    </row>
    <row r="172" spans="1:17" ht="15">
      <c r="A172" s="54" t="s">
        <v>317</v>
      </c>
      <c r="B172" s="25" t="s">
        <v>111</v>
      </c>
      <c r="C172" s="91">
        <f>SUM(C173:C177)</f>
        <v>423624</v>
      </c>
      <c r="D172" s="53">
        <f aca="true" t="shared" si="29" ref="D172:P172">SUM(D173:D177)</f>
        <v>0</v>
      </c>
      <c r="E172" s="53">
        <f t="shared" si="29"/>
        <v>0</v>
      </c>
      <c r="F172" s="53">
        <f t="shared" si="29"/>
        <v>0</v>
      </c>
      <c r="G172" s="53">
        <f t="shared" si="29"/>
        <v>0</v>
      </c>
      <c r="H172" s="53">
        <f t="shared" si="29"/>
        <v>0</v>
      </c>
      <c r="I172" s="53">
        <f t="shared" si="29"/>
        <v>0</v>
      </c>
      <c r="J172" s="53">
        <f t="shared" si="29"/>
        <v>0</v>
      </c>
      <c r="K172" s="53">
        <f t="shared" si="29"/>
        <v>0</v>
      </c>
      <c r="L172" s="53">
        <f t="shared" si="29"/>
        <v>0</v>
      </c>
      <c r="M172" s="53">
        <f t="shared" si="29"/>
        <v>0</v>
      </c>
      <c r="N172" s="53">
        <f t="shared" si="29"/>
        <v>16245</v>
      </c>
      <c r="O172" s="53">
        <f t="shared" si="29"/>
        <v>0</v>
      </c>
      <c r="P172" s="53">
        <f t="shared" si="29"/>
        <v>0</v>
      </c>
      <c r="Q172" s="126">
        <f t="shared" si="24"/>
        <v>439869</v>
      </c>
    </row>
    <row r="173" spans="1:17" ht="15">
      <c r="A173" s="52" t="s">
        <v>198</v>
      </c>
      <c r="B173" s="25" t="s">
        <v>494</v>
      </c>
      <c r="C173" s="53">
        <v>243327</v>
      </c>
      <c r="D173" s="18"/>
      <c r="E173" s="53"/>
      <c r="F173" s="53"/>
      <c r="G173" s="53"/>
      <c r="H173" s="18"/>
      <c r="I173" s="18"/>
      <c r="J173" s="18"/>
      <c r="K173" s="18"/>
      <c r="L173" s="18"/>
      <c r="M173" s="18"/>
      <c r="N173" s="18"/>
      <c r="O173" s="57"/>
      <c r="P173" s="53"/>
      <c r="Q173" s="126">
        <f t="shared" si="24"/>
        <v>243327</v>
      </c>
    </row>
    <row r="174" spans="1:17" ht="15">
      <c r="A174" s="52" t="s">
        <v>299</v>
      </c>
      <c r="B174" s="36" t="s">
        <v>495</v>
      </c>
      <c r="C174" s="53">
        <v>4045</v>
      </c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18">
        <v>16245</v>
      </c>
      <c r="O174" s="57"/>
      <c r="P174" s="53"/>
      <c r="Q174" s="126">
        <f t="shared" si="24"/>
        <v>20290</v>
      </c>
    </row>
    <row r="175" spans="1:17" ht="15">
      <c r="A175" s="52" t="s">
        <v>496</v>
      </c>
      <c r="B175" s="36" t="s">
        <v>497</v>
      </c>
      <c r="C175" s="53">
        <f>127275+430</f>
        <v>127705</v>
      </c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18"/>
      <c r="O175" s="57"/>
      <c r="P175" s="53"/>
      <c r="Q175" s="126">
        <f t="shared" si="24"/>
        <v>127705</v>
      </c>
    </row>
    <row r="176" spans="1:17" ht="15">
      <c r="A176" s="250" t="s">
        <v>498</v>
      </c>
      <c r="B176" s="36" t="s">
        <v>365</v>
      </c>
      <c r="C176" s="53">
        <v>22446</v>
      </c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18"/>
      <c r="O176" s="57"/>
      <c r="P176" s="53"/>
      <c r="Q176" s="126">
        <f t="shared" si="24"/>
        <v>22446</v>
      </c>
    </row>
    <row r="177" spans="1:17" ht="15">
      <c r="A177" s="250" t="s">
        <v>499</v>
      </c>
      <c r="B177" s="5" t="s">
        <v>500</v>
      </c>
      <c r="C177" s="129">
        <v>26101</v>
      </c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18"/>
      <c r="O177" s="57"/>
      <c r="P177" s="53"/>
      <c r="Q177" s="126">
        <f t="shared" si="24"/>
        <v>26101</v>
      </c>
    </row>
    <row r="178" spans="1:17" ht="15">
      <c r="A178" s="54" t="s">
        <v>86</v>
      </c>
      <c r="B178" s="25" t="s">
        <v>318</v>
      </c>
      <c r="C178" s="91">
        <f>SUM(C179:C196)</f>
        <v>2377281</v>
      </c>
      <c r="D178" s="91">
        <f aca="true" t="shared" si="30" ref="D178:N178">SUM(D179:D196)</f>
        <v>0</v>
      </c>
      <c r="E178" s="91">
        <f t="shared" si="30"/>
        <v>2204461</v>
      </c>
      <c r="F178" s="91">
        <f t="shared" si="30"/>
        <v>0</v>
      </c>
      <c r="G178" s="91">
        <f t="shared" si="30"/>
        <v>0</v>
      </c>
      <c r="H178" s="91">
        <f t="shared" si="30"/>
        <v>130495</v>
      </c>
      <c r="I178" s="91">
        <f t="shared" si="30"/>
        <v>64092</v>
      </c>
      <c r="J178" s="91">
        <f t="shared" si="30"/>
        <v>90651</v>
      </c>
      <c r="K178" s="91">
        <f t="shared" si="30"/>
        <v>124217</v>
      </c>
      <c r="L178" s="91">
        <f t="shared" si="30"/>
        <v>14052</v>
      </c>
      <c r="M178" s="91">
        <f t="shared" si="30"/>
        <v>11092</v>
      </c>
      <c r="N178" s="91">
        <f t="shared" si="30"/>
        <v>39662</v>
      </c>
      <c r="O178" s="91">
        <f>SUM(O179:O196)</f>
        <v>41556</v>
      </c>
      <c r="P178" s="91">
        <f>SUM(P179:P196)</f>
        <v>0</v>
      </c>
      <c r="Q178" s="126">
        <f t="shared" si="24"/>
        <v>5097559</v>
      </c>
    </row>
    <row r="179" spans="1:17" ht="15">
      <c r="A179" s="52" t="s">
        <v>266</v>
      </c>
      <c r="B179" s="25" t="s">
        <v>501</v>
      </c>
      <c r="C179" s="53"/>
      <c r="D179" s="18"/>
      <c r="E179" s="53">
        <f>495364+88702+1983</f>
        <v>586049</v>
      </c>
      <c r="F179" s="53"/>
      <c r="G179" s="53"/>
      <c r="H179" s="207">
        <v>130495</v>
      </c>
      <c r="I179" s="18">
        <v>64092</v>
      </c>
      <c r="J179" s="18">
        <v>79216</v>
      </c>
      <c r="K179" s="18">
        <v>124217</v>
      </c>
      <c r="L179" s="18">
        <v>14052</v>
      </c>
      <c r="M179" s="18">
        <v>11092</v>
      </c>
      <c r="N179" s="200">
        <v>39662</v>
      </c>
      <c r="O179" s="57">
        <v>41556</v>
      </c>
      <c r="P179" s="53"/>
      <c r="Q179" s="126">
        <f t="shared" si="24"/>
        <v>1090431</v>
      </c>
    </row>
    <row r="180" spans="1:17" ht="15">
      <c r="A180" s="52" t="s">
        <v>502</v>
      </c>
      <c r="B180" s="25" t="s">
        <v>503</v>
      </c>
      <c r="C180" s="53"/>
      <c r="D180" s="18"/>
      <c r="E180" s="129">
        <f>1615357+409+2646</f>
        <v>1618412</v>
      </c>
      <c r="F180" s="53"/>
      <c r="G180" s="53"/>
      <c r="H180" s="18"/>
      <c r="I180" s="18"/>
      <c r="J180" s="18"/>
      <c r="K180" s="18"/>
      <c r="L180" s="18"/>
      <c r="M180" s="18"/>
      <c r="N180" s="18"/>
      <c r="O180" s="53"/>
      <c r="P180" s="53"/>
      <c r="Q180" s="126">
        <f t="shared" si="24"/>
        <v>1618412</v>
      </c>
    </row>
    <row r="181" spans="1:17" ht="15">
      <c r="A181" s="52" t="s">
        <v>300</v>
      </c>
      <c r="B181" s="25" t="s">
        <v>504</v>
      </c>
      <c r="C181" s="53">
        <f>12001-50</f>
        <v>11951</v>
      </c>
      <c r="D181" s="18"/>
      <c r="E181" s="53"/>
      <c r="F181" s="53"/>
      <c r="G181" s="53"/>
      <c r="H181" s="58"/>
      <c r="I181" s="18"/>
      <c r="J181" s="18">
        <v>11435</v>
      </c>
      <c r="K181" s="18"/>
      <c r="L181" s="18"/>
      <c r="M181" s="18"/>
      <c r="N181" s="18"/>
      <c r="O181" s="57"/>
      <c r="P181" s="53"/>
      <c r="Q181" s="126">
        <f t="shared" si="24"/>
        <v>23386</v>
      </c>
    </row>
    <row r="182" spans="1:17" ht="15">
      <c r="A182" s="250" t="s">
        <v>283</v>
      </c>
      <c r="B182" s="25" t="s">
        <v>505</v>
      </c>
      <c r="C182" s="129">
        <f>354419+3272+5000</f>
        <v>362691</v>
      </c>
      <c r="D182" s="18"/>
      <c r="E182" s="53"/>
      <c r="F182" s="53"/>
      <c r="G182" s="53"/>
      <c r="H182" s="207"/>
      <c r="I182" s="18"/>
      <c r="J182" s="18"/>
      <c r="K182" s="18"/>
      <c r="L182" s="18"/>
      <c r="M182" s="18"/>
      <c r="N182" s="200"/>
      <c r="O182" s="57"/>
      <c r="P182" s="53"/>
      <c r="Q182" s="126">
        <f t="shared" si="24"/>
        <v>362691</v>
      </c>
    </row>
    <row r="183" spans="1:17" ht="15">
      <c r="A183" s="250" t="s">
        <v>506</v>
      </c>
      <c r="B183" s="25" t="s">
        <v>507</v>
      </c>
      <c r="C183" s="53">
        <f>186047+2863+130</f>
        <v>189040</v>
      </c>
      <c r="D183" s="18"/>
      <c r="E183" s="53"/>
      <c r="F183" s="53"/>
      <c r="G183" s="53"/>
      <c r="H183" s="207"/>
      <c r="I183" s="18"/>
      <c r="J183" s="18"/>
      <c r="K183" s="18"/>
      <c r="L183" s="18"/>
      <c r="M183" s="18"/>
      <c r="N183" s="200"/>
      <c r="O183" s="57"/>
      <c r="P183" s="53"/>
      <c r="Q183" s="126">
        <f t="shared" si="24"/>
        <v>189040</v>
      </c>
    </row>
    <row r="184" spans="1:17" ht="15">
      <c r="A184" s="250" t="s">
        <v>508</v>
      </c>
      <c r="B184" s="5" t="s">
        <v>509</v>
      </c>
      <c r="C184" s="18">
        <f>896116+11452+9719+3100+620</f>
        <v>921007</v>
      </c>
      <c r="D184" s="18"/>
      <c r="E184" s="53"/>
      <c r="F184" s="53"/>
      <c r="G184" s="53"/>
      <c r="H184" s="207"/>
      <c r="I184" s="18"/>
      <c r="J184" s="18"/>
      <c r="K184" s="18"/>
      <c r="L184" s="18"/>
      <c r="M184" s="18"/>
      <c r="N184" s="200"/>
      <c r="O184" s="57"/>
      <c r="P184" s="53"/>
      <c r="Q184" s="126">
        <f t="shared" si="24"/>
        <v>921007</v>
      </c>
    </row>
    <row r="185" spans="1:17" ht="15">
      <c r="A185" s="250" t="s">
        <v>510</v>
      </c>
      <c r="B185" s="5" t="s">
        <v>511</v>
      </c>
      <c r="C185" s="18">
        <f>254224+2454</f>
        <v>256678</v>
      </c>
      <c r="D185" s="18"/>
      <c r="E185" s="53"/>
      <c r="F185" s="53"/>
      <c r="G185" s="53"/>
      <c r="H185" s="207"/>
      <c r="I185" s="18"/>
      <c r="J185" s="18"/>
      <c r="K185" s="18"/>
      <c r="L185" s="18"/>
      <c r="M185" s="18"/>
      <c r="N185" s="200"/>
      <c r="O185" s="57"/>
      <c r="P185" s="53"/>
      <c r="Q185" s="126">
        <f t="shared" si="24"/>
        <v>256678</v>
      </c>
    </row>
    <row r="186" spans="1:17" ht="15">
      <c r="A186" s="250" t="s">
        <v>512</v>
      </c>
      <c r="B186" s="5" t="s">
        <v>513</v>
      </c>
      <c r="C186" s="18">
        <f>140499+1636</f>
        <v>142135</v>
      </c>
      <c r="D186" s="18"/>
      <c r="E186" s="53"/>
      <c r="F186" s="53"/>
      <c r="G186" s="53"/>
      <c r="H186" s="207"/>
      <c r="I186" s="18"/>
      <c r="J186" s="18"/>
      <c r="K186" s="18"/>
      <c r="L186" s="18"/>
      <c r="M186" s="18"/>
      <c r="N186" s="200"/>
      <c r="O186" s="57"/>
      <c r="P186" s="53"/>
      <c r="Q186" s="126">
        <f t="shared" si="24"/>
        <v>142135</v>
      </c>
    </row>
    <row r="187" spans="1:17" ht="15">
      <c r="A187" s="250" t="s">
        <v>514</v>
      </c>
      <c r="B187" s="5" t="s">
        <v>515</v>
      </c>
      <c r="C187" s="18">
        <v>56918</v>
      </c>
      <c r="D187" s="18"/>
      <c r="E187" s="53"/>
      <c r="F187" s="53"/>
      <c r="G187" s="53"/>
      <c r="H187" s="207"/>
      <c r="I187" s="18"/>
      <c r="J187" s="18"/>
      <c r="K187" s="18"/>
      <c r="L187" s="18"/>
      <c r="M187" s="18"/>
      <c r="N187" s="200"/>
      <c r="O187" s="57"/>
      <c r="P187" s="53"/>
      <c r="Q187" s="126">
        <f t="shared" si="24"/>
        <v>56918</v>
      </c>
    </row>
    <row r="188" spans="1:17" ht="15">
      <c r="A188" s="250" t="s">
        <v>516</v>
      </c>
      <c r="B188" s="5" t="s">
        <v>517</v>
      </c>
      <c r="C188" s="272">
        <f>90024+1227+569</f>
        <v>91820</v>
      </c>
      <c r="D188" s="18"/>
      <c r="E188" s="53"/>
      <c r="F188" s="53"/>
      <c r="G188" s="53"/>
      <c r="H188" s="207"/>
      <c r="I188" s="18"/>
      <c r="J188" s="18"/>
      <c r="K188" s="18"/>
      <c r="L188" s="18"/>
      <c r="M188" s="18"/>
      <c r="N188" s="200"/>
      <c r="O188" s="57"/>
      <c r="P188" s="53"/>
      <c r="Q188" s="126">
        <f>SUM(C188:P188)</f>
        <v>91820</v>
      </c>
    </row>
    <row r="189" spans="1:17" ht="15">
      <c r="A189" s="145" t="s">
        <v>763</v>
      </c>
      <c r="B189" s="17" t="s">
        <v>764</v>
      </c>
      <c r="C189" s="272">
        <f>87852+4396</f>
        <v>92248</v>
      </c>
      <c r="D189" s="18"/>
      <c r="E189" s="53"/>
      <c r="F189" s="53"/>
      <c r="G189" s="53"/>
      <c r="H189" s="207"/>
      <c r="I189" s="18"/>
      <c r="J189" s="18"/>
      <c r="K189" s="18"/>
      <c r="L189" s="18"/>
      <c r="M189" s="18"/>
      <c r="N189" s="200"/>
      <c r="O189" s="57"/>
      <c r="P189" s="53"/>
      <c r="Q189" s="126">
        <f>SUM(C189:P189)</f>
        <v>92248</v>
      </c>
    </row>
    <row r="190" spans="1:17" ht="15">
      <c r="A190" s="145" t="s">
        <v>765</v>
      </c>
      <c r="B190" s="17" t="s">
        <v>766</v>
      </c>
      <c r="C190" s="272">
        <v>36500</v>
      </c>
      <c r="D190" s="18"/>
      <c r="E190" s="53"/>
      <c r="F190" s="53"/>
      <c r="G190" s="53"/>
      <c r="H190" s="207"/>
      <c r="I190" s="18"/>
      <c r="J190" s="18"/>
      <c r="K190" s="18"/>
      <c r="L190" s="18"/>
      <c r="M190" s="18"/>
      <c r="N190" s="200"/>
      <c r="O190" s="57"/>
      <c r="P190" s="53"/>
      <c r="Q190" s="126">
        <f t="shared" si="24"/>
        <v>36500</v>
      </c>
    </row>
    <row r="191" spans="1:17" ht="15">
      <c r="A191" s="145" t="s">
        <v>767</v>
      </c>
      <c r="B191" s="17" t="s">
        <v>768</v>
      </c>
      <c r="C191" s="272">
        <f>43272+9050</f>
        <v>52322</v>
      </c>
      <c r="D191" s="18"/>
      <c r="E191" s="53"/>
      <c r="F191" s="53"/>
      <c r="G191" s="53"/>
      <c r="H191" s="207"/>
      <c r="I191" s="18"/>
      <c r="J191" s="18"/>
      <c r="K191" s="18"/>
      <c r="L191" s="18"/>
      <c r="M191" s="18"/>
      <c r="N191" s="200"/>
      <c r="O191" s="57"/>
      <c r="P191" s="53"/>
      <c r="Q191" s="126">
        <f t="shared" si="24"/>
        <v>52322</v>
      </c>
    </row>
    <row r="192" spans="1:17" ht="15">
      <c r="A192" s="145" t="s">
        <v>769</v>
      </c>
      <c r="B192" s="17" t="s">
        <v>770</v>
      </c>
      <c r="C192" s="272">
        <v>64310</v>
      </c>
      <c r="D192" s="18"/>
      <c r="E192" s="53"/>
      <c r="F192" s="53"/>
      <c r="G192" s="53"/>
      <c r="H192" s="207"/>
      <c r="I192" s="18"/>
      <c r="J192" s="18"/>
      <c r="K192" s="18"/>
      <c r="L192" s="18"/>
      <c r="M192" s="18"/>
      <c r="N192" s="200"/>
      <c r="O192" s="57"/>
      <c r="P192" s="53"/>
      <c r="Q192" s="126">
        <f>SUM(C192:P192)</f>
        <v>64310</v>
      </c>
    </row>
    <row r="193" spans="1:17" ht="15">
      <c r="A193" s="145" t="s">
        <v>771</v>
      </c>
      <c r="B193" s="17" t="s">
        <v>772</v>
      </c>
      <c r="C193" s="272">
        <v>14833</v>
      </c>
      <c r="D193" s="18"/>
      <c r="E193" s="53"/>
      <c r="F193" s="53"/>
      <c r="G193" s="53"/>
      <c r="H193" s="207"/>
      <c r="I193" s="18"/>
      <c r="J193" s="18"/>
      <c r="K193" s="18"/>
      <c r="L193" s="18"/>
      <c r="M193" s="18"/>
      <c r="N193" s="200"/>
      <c r="O193" s="57"/>
      <c r="P193" s="53"/>
      <c r="Q193" s="126">
        <f t="shared" si="24"/>
        <v>14833</v>
      </c>
    </row>
    <row r="194" spans="1:17" ht="15">
      <c r="A194" s="145" t="s">
        <v>773</v>
      </c>
      <c r="B194" s="17" t="s">
        <v>774</v>
      </c>
      <c r="C194" s="272">
        <v>15048</v>
      </c>
      <c r="D194" s="18"/>
      <c r="E194" s="53"/>
      <c r="F194" s="53"/>
      <c r="G194" s="53"/>
      <c r="H194" s="207"/>
      <c r="I194" s="18"/>
      <c r="J194" s="18"/>
      <c r="K194" s="18"/>
      <c r="L194" s="18"/>
      <c r="M194" s="18"/>
      <c r="N194" s="200"/>
      <c r="O194" s="57"/>
      <c r="P194" s="53"/>
      <c r="Q194" s="126">
        <f t="shared" si="24"/>
        <v>15048</v>
      </c>
    </row>
    <row r="195" spans="1:17" ht="15">
      <c r="A195" s="145" t="s">
        <v>775</v>
      </c>
      <c r="B195" s="17" t="s">
        <v>776</v>
      </c>
      <c r="C195" s="272">
        <v>20457</v>
      </c>
      <c r="D195" s="18"/>
      <c r="E195" s="53"/>
      <c r="F195" s="53"/>
      <c r="G195" s="53"/>
      <c r="H195" s="207"/>
      <c r="I195" s="18"/>
      <c r="J195" s="18"/>
      <c r="K195" s="18"/>
      <c r="L195" s="18"/>
      <c r="M195" s="18"/>
      <c r="N195" s="200"/>
      <c r="O195" s="57"/>
      <c r="P195" s="53"/>
      <c r="Q195" s="126">
        <f t="shared" si="24"/>
        <v>20457</v>
      </c>
    </row>
    <row r="196" spans="1:17" ht="15">
      <c r="A196" s="145" t="s">
        <v>777</v>
      </c>
      <c r="B196" s="17" t="s">
        <v>778</v>
      </c>
      <c r="C196" s="272">
        <f>48773+550</f>
        <v>49323</v>
      </c>
      <c r="D196" s="18"/>
      <c r="E196" s="53"/>
      <c r="F196" s="53"/>
      <c r="G196" s="53"/>
      <c r="H196" s="207"/>
      <c r="I196" s="18"/>
      <c r="J196" s="18"/>
      <c r="K196" s="18"/>
      <c r="L196" s="18"/>
      <c r="M196" s="18"/>
      <c r="N196" s="200"/>
      <c r="O196" s="57"/>
      <c r="P196" s="53"/>
      <c r="Q196" s="126">
        <f t="shared" si="24"/>
        <v>49323</v>
      </c>
    </row>
    <row r="197" spans="1:17" s="184" customFormat="1" ht="14.25">
      <c r="A197" s="125" t="s">
        <v>87</v>
      </c>
      <c r="B197" s="88" t="s">
        <v>199</v>
      </c>
      <c r="C197" s="34">
        <f aca="true" t="shared" si="31" ref="C197:P197">SUM(C198:C209)</f>
        <v>1957744</v>
      </c>
      <c r="D197" s="34">
        <f t="shared" si="31"/>
        <v>0</v>
      </c>
      <c r="E197" s="34">
        <f t="shared" si="31"/>
        <v>20060</v>
      </c>
      <c r="F197" s="34">
        <f t="shared" si="31"/>
        <v>0</v>
      </c>
      <c r="G197" s="34">
        <f t="shared" si="31"/>
        <v>0</v>
      </c>
      <c r="H197" s="34">
        <f t="shared" si="31"/>
        <v>7330</v>
      </c>
      <c r="I197" s="34">
        <f t="shared" si="31"/>
        <v>0</v>
      </c>
      <c r="J197" s="34">
        <f t="shared" si="31"/>
        <v>8409</v>
      </c>
      <c r="K197" s="34">
        <f t="shared" si="31"/>
        <v>10280</v>
      </c>
      <c r="L197" s="34">
        <f t="shared" si="31"/>
        <v>0</v>
      </c>
      <c r="M197" s="34">
        <f t="shared" si="31"/>
        <v>0</v>
      </c>
      <c r="N197" s="34">
        <f t="shared" si="31"/>
        <v>0</v>
      </c>
      <c r="O197" s="34">
        <f t="shared" si="31"/>
        <v>5770</v>
      </c>
      <c r="P197" s="34">
        <f t="shared" si="31"/>
        <v>0</v>
      </c>
      <c r="Q197" s="126">
        <f>SUM(C197:P197)</f>
        <v>2009593</v>
      </c>
    </row>
    <row r="198" spans="1:17" ht="15">
      <c r="A198" s="52" t="s">
        <v>200</v>
      </c>
      <c r="B198" s="36" t="s">
        <v>518</v>
      </c>
      <c r="C198" s="129">
        <f>207937-5500</f>
        <v>202437</v>
      </c>
      <c r="D198" s="18"/>
      <c r="E198" s="53"/>
      <c r="F198" s="53"/>
      <c r="G198" s="53"/>
      <c r="H198" s="18"/>
      <c r="I198" s="18"/>
      <c r="J198" s="18"/>
      <c r="K198" s="18"/>
      <c r="L198" s="18"/>
      <c r="M198" s="18"/>
      <c r="N198" s="18"/>
      <c r="O198" s="53">
        <v>2073</v>
      </c>
      <c r="P198" s="53"/>
      <c r="Q198" s="126">
        <f t="shared" si="24"/>
        <v>204510</v>
      </c>
    </row>
    <row r="199" spans="1:17" ht="15">
      <c r="A199" s="52" t="s">
        <v>201</v>
      </c>
      <c r="B199" s="36" t="s">
        <v>519</v>
      </c>
      <c r="C199" s="129">
        <f>344896+15000</f>
        <v>359896</v>
      </c>
      <c r="D199" s="18"/>
      <c r="E199" s="53"/>
      <c r="F199" s="53"/>
      <c r="G199" s="53"/>
      <c r="H199" s="18"/>
      <c r="I199" s="18"/>
      <c r="J199" s="18"/>
      <c r="K199" s="18"/>
      <c r="L199" s="18"/>
      <c r="M199" s="18"/>
      <c r="N199" s="18"/>
      <c r="O199" s="53"/>
      <c r="P199" s="53"/>
      <c r="Q199" s="126">
        <f t="shared" si="24"/>
        <v>359896</v>
      </c>
    </row>
    <row r="200" spans="1:17" ht="15">
      <c r="A200" s="145" t="s">
        <v>656</v>
      </c>
      <c r="B200" s="36" t="s">
        <v>657</v>
      </c>
      <c r="C200" s="129">
        <f>184237+201510-66829-49019-26604+50+2-15000</f>
        <v>228347</v>
      </c>
      <c r="D200" s="18"/>
      <c r="E200" s="53">
        <v>20060</v>
      </c>
      <c r="F200" s="53"/>
      <c r="G200" s="53"/>
      <c r="H200" s="18">
        <v>7330</v>
      </c>
      <c r="I200" s="18"/>
      <c r="J200" s="18">
        <v>7652</v>
      </c>
      <c r="K200" s="18">
        <v>10280</v>
      </c>
      <c r="L200" s="18"/>
      <c r="M200" s="18"/>
      <c r="N200" s="18"/>
      <c r="O200" s="53">
        <v>3697</v>
      </c>
      <c r="P200" s="53"/>
      <c r="Q200" s="126">
        <f t="shared" si="24"/>
        <v>277366</v>
      </c>
    </row>
    <row r="201" spans="1:17" ht="30">
      <c r="A201" s="52" t="s">
        <v>279</v>
      </c>
      <c r="B201" s="36" t="s">
        <v>520</v>
      </c>
      <c r="C201" s="53">
        <f>20000-1063</f>
        <v>18937</v>
      </c>
      <c r="D201" s="18"/>
      <c r="E201" s="53"/>
      <c r="F201" s="53"/>
      <c r="G201" s="53"/>
      <c r="H201" s="18"/>
      <c r="I201" s="18"/>
      <c r="J201" s="18">
        <v>757</v>
      </c>
      <c r="K201" s="18"/>
      <c r="L201" s="18"/>
      <c r="M201" s="18"/>
      <c r="N201" s="18"/>
      <c r="O201" s="53"/>
      <c r="P201" s="53"/>
      <c r="Q201" s="126">
        <f t="shared" si="24"/>
        <v>19694</v>
      </c>
    </row>
    <row r="202" spans="1:17" ht="45">
      <c r="A202" s="52" t="s">
        <v>248</v>
      </c>
      <c r="B202" s="155" t="s">
        <v>521</v>
      </c>
      <c r="C202" s="53">
        <v>60000</v>
      </c>
      <c r="D202" s="18"/>
      <c r="E202" s="53"/>
      <c r="F202" s="53"/>
      <c r="G202" s="53"/>
      <c r="H202" s="18"/>
      <c r="I202" s="18"/>
      <c r="J202" s="18"/>
      <c r="K202" s="18"/>
      <c r="L202" s="18"/>
      <c r="M202" s="18"/>
      <c r="N202" s="18"/>
      <c r="O202" s="53"/>
      <c r="P202" s="53"/>
      <c r="Q202" s="126">
        <f t="shared" si="24"/>
        <v>60000</v>
      </c>
    </row>
    <row r="203" spans="1:17" ht="30">
      <c r="A203" s="12" t="s">
        <v>378</v>
      </c>
      <c r="B203" s="210" t="s">
        <v>379</v>
      </c>
      <c r="C203" s="53">
        <v>33870</v>
      </c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126">
        <f t="shared" si="24"/>
        <v>33870</v>
      </c>
    </row>
    <row r="204" spans="1:17" ht="15">
      <c r="A204" s="12" t="s">
        <v>522</v>
      </c>
      <c r="B204" s="228" t="s">
        <v>523</v>
      </c>
      <c r="C204" s="18">
        <f>70857+2500</f>
        <v>73357</v>
      </c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126">
        <f t="shared" si="24"/>
        <v>73357</v>
      </c>
    </row>
    <row r="205" spans="1:17" ht="15">
      <c r="A205" s="12" t="s">
        <v>524</v>
      </c>
      <c r="B205" s="228" t="s">
        <v>525</v>
      </c>
      <c r="C205" s="18">
        <f>19851+1500</f>
        <v>21351</v>
      </c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126">
        <f t="shared" si="24"/>
        <v>21351</v>
      </c>
    </row>
    <row r="206" spans="1:17" ht="15">
      <c r="A206" s="12" t="s">
        <v>526</v>
      </c>
      <c r="B206" s="253" t="s">
        <v>527</v>
      </c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126">
        <f t="shared" si="24"/>
        <v>0</v>
      </c>
    </row>
    <row r="207" spans="1:17" ht="15">
      <c r="A207" s="12" t="s">
        <v>528</v>
      </c>
      <c r="B207" s="253" t="s">
        <v>529</v>
      </c>
      <c r="C207" s="53">
        <f>319742+3558</f>
        <v>323300</v>
      </c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126">
        <f t="shared" si="24"/>
        <v>323300</v>
      </c>
    </row>
    <row r="208" spans="1:17" ht="15">
      <c r="A208" s="12" t="s">
        <v>530</v>
      </c>
      <c r="B208" s="253" t="s">
        <v>531</v>
      </c>
      <c r="C208" s="53">
        <f>148553+356878+40000</f>
        <v>545431</v>
      </c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126">
        <f t="shared" si="24"/>
        <v>545431</v>
      </c>
    </row>
    <row r="209" spans="1:17" ht="45">
      <c r="A209" s="12" t="s">
        <v>601</v>
      </c>
      <c r="B209" s="253" t="s">
        <v>602</v>
      </c>
      <c r="C209" s="53">
        <v>90818</v>
      </c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126">
        <f t="shared" si="24"/>
        <v>90818</v>
      </c>
    </row>
    <row r="210" spans="1:17" ht="15">
      <c r="A210" s="87" t="s">
        <v>284</v>
      </c>
      <c r="B210" s="156" t="s">
        <v>285</v>
      </c>
      <c r="C210" s="53">
        <f>SUM(C211:C212)</f>
        <v>235395</v>
      </c>
      <c r="D210" s="53">
        <f aca="true" t="shared" si="32" ref="D210:P210">SUM(D211:D212)</f>
        <v>0</v>
      </c>
      <c r="E210" s="53">
        <f t="shared" si="32"/>
        <v>0</v>
      </c>
      <c r="F210" s="53">
        <f t="shared" si="32"/>
        <v>0</v>
      </c>
      <c r="G210" s="53">
        <f t="shared" si="32"/>
        <v>0</v>
      </c>
      <c r="H210" s="53">
        <f t="shared" si="32"/>
        <v>0</v>
      </c>
      <c r="I210" s="53">
        <f t="shared" si="32"/>
        <v>0</v>
      </c>
      <c r="J210" s="53">
        <f t="shared" si="32"/>
        <v>0</v>
      </c>
      <c r="K210" s="53">
        <f t="shared" si="32"/>
        <v>0</v>
      </c>
      <c r="L210" s="53">
        <f t="shared" si="32"/>
        <v>0</v>
      </c>
      <c r="M210" s="53">
        <f t="shared" si="32"/>
        <v>0</v>
      </c>
      <c r="N210" s="53">
        <f t="shared" si="32"/>
        <v>0</v>
      </c>
      <c r="O210" s="53">
        <f t="shared" si="32"/>
        <v>0</v>
      </c>
      <c r="P210" s="53">
        <f t="shared" si="32"/>
        <v>0</v>
      </c>
      <c r="Q210" s="126">
        <f t="shared" si="24"/>
        <v>235395</v>
      </c>
    </row>
    <row r="211" spans="1:17" ht="15">
      <c r="A211" s="11" t="s">
        <v>301</v>
      </c>
      <c r="B211" s="88" t="s">
        <v>88</v>
      </c>
      <c r="C211" s="129">
        <v>31000</v>
      </c>
      <c r="D211" s="34"/>
      <c r="E211" s="91"/>
      <c r="F211" s="91"/>
      <c r="G211" s="91"/>
      <c r="H211" s="18"/>
      <c r="I211" s="18"/>
      <c r="J211" s="18"/>
      <c r="K211" s="18"/>
      <c r="L211" s="18"/>
      <c r="M211" s="18"/>
      <c r="N211" s="18"/>
      <c r="O211" s="53"/>
      <c r="P211" s="53"/>
      <c r="Q211" s="126">
        <f t="shared" si="24"/>
        <v>31000</v>
      </c>
    </row>
    <row r="212" spans="1:17" ht="15" customHeight="1">
      <c r="A212" s="11" t="s">
        <v>302</v>
      </c>
      <c r="B212" s="88" t="s">
        <v>789</v>
      </c>
      <c r="C212" s="53">
        <v>204395</v>
      </c>
      <c r="D212" s="34"/>
      <c r="E212" s="91"/>
      <c r="F212" s="91"/>
      <c r="G212" s="91"/>
      <c r="H212" s="18"/>
      <c r="I212" s="18"/>
      <c r="J212" s="18"/>
      <c r="K212" s="18"/>
      <c r="L212" s="18"/>
      <c r="M212" s="18"/>
      <c r="N212" s="18"/>
      <c r="O212" s="53"/>
      <c r="P212" s="53"/>
      <c r="Q212" s="126">
        <f t="shared" si="24"/>
        <v>204395</v>
      </c>
    </row>
    <row r="213" spans="1:17" ht="44.25" thickBot="1">
      <c r="A213" s="213" t="s">
        <v>364</v>
      </c>
      <c r="B213" s="261" t="s">
        <v>353</v>
      </c>
      <c r="C213" s="53">
        <f>18000+6000</f>
        <v>24000</v>
      </c>
      <c r="D213" s="34"/>
      <c r="E213" s="91"/>
      <c r="F213" s="91"/>
      <c r="G213" s="91"/>
      <c r="H213" s="18"/>
      <c r="I213" s="18"/>
      <c r="J213" s="18"/>
      <c r="K213" s="18"/>
      <c r="L213" s="18"/>
      <c r="M213" s="18"/>
      <c r="N213" s="18"/>
      <c r="O213" s="18"/>
      <c r="P213" s="53"/>
      <c r="Q213" s="126">
        <f t="shared" si="24"/>
        <v>24000</v>
      </c>
    </row>
    <row r="214" spans="1:17" ht="15.75" thickBot="1">
      <c r="A214" s="159" t="s">
        <v>89</v>
      </c>
      <c r="B214" s="148" t="s">
        <v>0</v>
      </c>
      <c r="C214" s="45">
        <f aca="true" t="shared" si="33" ref="C214:P214">C215+C230+C233+C252+C262+C270+C271</f>
        <v>61792820</v>
      </c>
      <c r="D214" s="45">
        <f t="shared" si="33"/>
        <v>0</v>
      </c>
      <c r="E214" s="45">
        <f t="shared" si="33"/>
        <v>0</v>
      </c>
      <c r="F214" s="45">
        <f t="shared" si="33"/>
        <v>0</v>
      </c>
      <c r="G214" s="45">
        <f t="shared" si="33"/>
        <v>0</v>
      </c>
      <c r="H214" s="45">
        <f t="shared" si="33"/>
        <v>1016796</v>
      </c>
      <c r="I214" s="45">
        <f t="shared" si="33"/>
        <v>0</v>
      </c>
      <c r="J214" s="45">
        <f t="shared" si="33"/>
        <v>371744</v>
      </c>
      <c r="K214" s="45">
        <f t="shared" si="33"/>
        <v>1180397</v>
      </c>
      <c r="L214" s="45">
        <f t="shared" si="33"/>
        <v>20199</v>
      </c>
      <c r="M214" s="45">
        <f t="shared" si="33"/>
        <v>16749</v>
      </c>
      <c r="N214" s="45">
        <f t="shared" si="33"/>
        <v>31991</v>
      </c>
      <c r="O214" s="45">
        <f t="shared" si="33"/>
        <v>535263</v>
      </c>
      <c r="P214" s="46">
        <f t="shared" si="33"/>
        <v>0</v>
      </c>
      <c r="Q214" s="47">
        <f t="shared" si="24"/>
        <v>64965959</v>
      </c>
    </row>
    <row r="215" spans="1:17" ht="15">
      <c r="A215" s="118" t="s">
        <v>90</v>
      </c>
      <c r="B215" s="119" t="s">
        <v>202</v>
      </c>
      <c r="C215" s="120">
        <f>SUM(C216:C229)</f>
        <v>12808140</v>
      </c>
      <c r="D215" s="120">
        <f aca="true" t="shared" si="34" ref="D215:P215">SUM(D216:D229)</f>
        <v>0</v>
      </c>
      <c r="E215" s="120">
        <f t="shared" si="34"/>
        <v>0</v>
      </c>
      <c r="F215" s="120">
        <f t="shared" si="34"/>
        <v>0</v>
      </c>
      <c r="G215" s="120">
        <f t="shared" si="34"/>
        <v>0</v>
      </c>
      <c r="H215" s="120">
        <f t="shared" si="34"/>
        <v>0</v>
      </c>
      <c r="I215" s="120">
        <f t="shared" si="34"/>
        <v>0</v>
      </c>
      <c r="J215" s="120">
        <f t="shared" si="34"/>
        <v>0</v>
      </c>
      <c r="K215" s="120">
        <f t="shared" si="34"/>
        <v>331171</v>
      </c>
      <c r="L215" s="120">
        <f t="shared" si="34"/>
        <v>0</v>
      </c>
      <c r="M215" s="120">
        <f t="shared" si="34"/>
        <v>0</v>
      </c>
      <c r="N215" s="120">
        <f t="shared" si="34"/>
        <v>0</v>
      </c>
      <c r="O215" s="120">
        <f>SUM(O216:O229)</f>
        <v>0</v>
      </c>
      <c r="P215" s="120">
        <f t="shared" si="34"/>
        <v>0</v>
      </c>
      <c r="Q215" s="51">
        <f t="shared" si="24"/>
        <v>13139311</v>
      </c>
    </row>
    <row r="216" spans="1:17" ht="15">
      <c r="A216" s="52" t="s">
        <v>203</v>
      </c>
      <c r="B216" s="25" t="s">
        <v>91</v>
      </c>
      <c r="C216" s="53">
        <f>1016529+141416+3381+25000+74248</f>
        <v>1260574</v>
      </c>
      <c r="D216" s="53"/>
      <c r="E216" s="53"/>
      <c r="F216" s="53"/>
      <c r="G216" s="53"/>
      <c r="H216" s="18"/>
      <c r="I216" s="18"/>
      <c r="J216" s="18"/>
      <c r="K216" s="18"/>
      <c r="L216" s="18"/>
      <c r="M216" s="18"/>
      <c r="N216" s="18"/>
      <c r="O216" s="53"/>
      <c r="P216" s="53"/>
      <c r="Q216" s="126">
        <f t="shared" si="24"/>
        <v>1260574</v>
      </c>
    </row>
    <row r="217" spans="1:17" ht="15">
      <c r="A217" s="52" t="s">
        <v>204</v>
      </c>
      <c r="B217" s="25" t="s">
        <v>92</v>
      </c>
      <c r="C217" s="53">
        <f>744070+76640+1832+15524+55820+200</f>
        <v>894086</v>
      </c>
      <c r="D217" s="53"/>
      <c r="E217" s="53"/>
      <c r="F217" s="53"/>
      <c r="G217" s="53"/>
      <c r="H217" s="18"/>
      <c r="I217" s="18"/>
      <c r="J217" s="18"/>
      <c r="K217" s="18"/>
      <c r="L217" s="18"/>
      <c r="M217" s="18"/>
      <c r="N217" s="18"/>
      <c r="O217" s="53"/>
      <c r="P217" s="53"/>
      <c r="Q217" s="126">
        <f t="shared" si="24"/>
        <v>894086</v>
      </c>
    </row>
    <row r="218" spans="1:17" ht="15">
      <c r="A218" s="52" t="s">
        <v>205</v>
      </c>
      <c r="B218" s="25" t="s">
        <v>93</v>
      </c>
      <c r="C218" s="53">
        <f>748110+126808+2624+2138+16138+61804+40</f>
        <v>957662</v>
      </c>
      <c r="D218" s="53"/>
      <c r="E218" s="53"/>
      <c r="F218" s="53"/>
      <c r="G218" s="53"/>
      <c r="H218" s="18"/>
      <c r="I218" s="18"/>
      <c r="J218" s="18"/>
      <c r="K218" s="18"/>
      <c r="L218" s="18"/>
      <c r="M218" s="18"/>
      <c r="N218" s="18"/>
      <c r="O218" s="53"/>
      <c r="P218" s="53"/>
      <c r="Q218" s="126">
        <f t="shared" si="24"/>
        <v>957662</v>
      </c>
    </row>
    <row r="219" spans="1:17" ht="15">
      <c r="A219" s="52" t="s">
        <v>206</v>
      </c>
      <c r="B219" s="25" t="s">
        <v>94</v>
      </c>
      <c r="C219" s="53">
        <f>923499+103096+2465+58893+1061+307</f>
        <v>1089321</v>
      </c>
      <c r="D219" s="53"/>
      <c r="E219" s="53"/>
      <c r="F219" s="53"/>
      <c r="G219" s="53"/>
      <c r="H219" s="18"/>
      <c r="I219" s="18"/>
      <c r="J219" s="18"/>
      <c r="K219" s="18"/>
      <c r="L219" s="18"/>
      <c r="M219" s="18"/>
      <c r="N219" s="18"/>
      <c r="O219" s="53"/>
      <c r="P219" s="53"/>
      <c r="Q219" s="126">
        <f aca="true" t="shared" si="35" ref="Q219:Q254">SUM(C219:P219)</f>
        <v>1089321</v>
      </c>
    </row>
    <row r="220" spans="1:17" ht="15">
      <c r="A220" s="52" t="s">
        <v>207</v>
      </c>
      <c r="B220" s="25" t="s">
        <v>95</v>
      </c>
      <c r="C220" s="129">
        <f>499089+42880+1025+1550+26976+110+2</f>
        <v>571632</v>
      </c>
      <c r="D220" s="53"/>
      <c r="E220" s="53"/>
      <c r="F220" s="53"/>
      <c r="G220" s="53"/>
      <c r="H220" s="18"/>
      <c r="I220" s="18"/>
      <c r="J220" s="18"/>
      <c r="K220" s="18"/>
      <c r="L220" s="18"/>
      <c r="M220" s="18"/>
      <c r="N220" s="18"/>
      <c r="O220" s="53"/>
      <c r="P220" s="53"/>
      <c r="Q220" s="126">
        <f t="shared" si="35"/>
        <v>571632</v>
      </c>
    </row>
    <row r="221" spans="1:17" ht="15">
      <c r="A221" s="52" t="s">
        <v>208</v>
      </c>
      <c r="B221" s="25" t="s">
        <v>112</v>
      </c>
      <c r="C221" s="129">
        <f>964185+134120+3206+16773+69708+5178</f>
        <v>1193170</v>
      </c>
      <c r="D221" s="53"/>
      <c r="E221" s="53"/>
      <c r="F221" s="53"/>
      <c r="G221" s="53"/>
      <c r="H221" s="18"/>
      <c r="I221" s="18"/>
      <c r="J221" s="18"/>
      <c r="K221" s="18"/>
      <c r="L221" s="18"/>
      <c r="M221" s="18"/>
      <c r="N221" s="18"/>
      <c r="O221" s="53"/>
      <c r="P221" s="53"/>
      <c r="Q221" s="126">
        <f t="shared" si="35"/>
        <v>1193170</v>
      </c>
    </row>
    <row r="222" spans="1:17" ht="15">
      <c r="A222" s="52" t="s">
        <v>209</v>
      </c>
      <c r="B222" s="25" t="s">
        <v>128</v>
      </c>
      <c r="C222" s="129">
        <f>524477+65688+1570+655+22968+200</f>
        <v>615558</v>
      </c>
      <c r="D222" s="53"/>
      <c r="E222" s="53"/>
      <c r="F222" s="53"/>
      <c r="G222" s="53"/>
      <c r="H222" s="18"/>
      <c r="I222" s="18"/>
      <c r="J222" s="18"/>
      <c r="K222" s="53"/>
      <c r="L222" s="53"/>
      <c r="M222" s="53"/>
      <c r="N222" s="53"/>
      <c r="O222" s="53"/>
      <c r="P222" s="53"/>
      <c r="Q222" s="126">
        <f t="shared" si="35"/>
        <v>615558</v>
      </c>
    </row>
    <row r="223" spans="1:17" ht="15">
      <c r="A223" s="52" t="s">
        <v>210</v>
      </c>
      <c r="B223" s="25" t="s">
        <v>129</v>
      </c>
      <c r="C223" s="53">
        <f>239050+4280</f>
        <v>243330</v>
      </c>
      <c r="D223" s="53"/>
      <c r="E223" s="53"/>
      <c r="F223" s="53"/>
      <c r="G223" s="53"/>
      <c r="H223" s="18"/>
      <c r="I223" s="18"/>
      <c r="J223" s="18"/>
      <c r="K223" s="18">
        <f>331172-1</f>
        <v>331171</v>
      </c>
      <c r="L223" s="53"/>
      <c r="M223" s="53"/>
      <c r="N223" s="53"/>
      <c r="O223" s="53"/>
      <c r="P223" s="53"/>
      <c r="Q223" s="126">
        <f t="shared" si="35"/>
        <v>574501</v>
      </c>
    </row>
    <row r="224" spans="1:17" ht="30">
      <c r="A224" s="52" t="s">
        <v>211</v>
      </c>
      <c r="B224" s="25" t="s">
        <v>332</v>
      </c>
      <c r="C224" s="53">
        <f>744036+140400+30000</f>
        <v>914436</v>
      </c>
      <c r="D224" s="53"/>
      <c r="E224" s="53"/>
      <c r="F224" s="53"/>
      <c r="G224" s="53"/>
      <c r="H224" s="18"/>
      <c r="I224" s="18"/>
      <c r="J224" s="18"/>
      <c r="K224" s="53"/>
      <c r="L224" s="53"/>
      <c r="M224" s="53"/>
      <c r="N224" s="53"/>
      <c r="O224" s="53"/>
      <c r="P224" s="53"/>
      <c r="Q224" s="126">
        <f t="shared" si="35"/>
        <v>914436</v>
      </c>
    </row>
    <row r="225" spans="1:17" ht="15">
      <c r="A225" s="145" t="s">
        <v>532</v>
      </c>
      <c r="B225" s="25" t="s">
        <v>366</v>
      </c>
      <c r="C225" s="53">
        <f>1221095+163000+3708+42715+95856+400</f>
        <v>1526774</v>
      </c>
      <c r="D225" s="53"/>
      <c r="E225" s="53"/>
      <c r="F225" s="53"/>
      <c r="G225" s="53"/>
      <c r="H225" s="18"/>
      <c r="I225" s="18"/>
      <c r="J225" s="18"/>
      <c r="K225" s="129"/>
      <c r="L225" s="53"/>
      <c r="M225" s="53"/>
      <c r="N225" s="53"/>
      <c r="O225" s="53"/>
      <c r="P225" s="53"/>
      <c r="Q225" s="126">
        <f t="shared" si="35"/>
        <v>1526774</v>
      </c>
    </row>
    <row r="226" spans="1:17" ht="15">
      <c r="A226" s="145" t="s">
        <v>533</v>
      </c>
      <c r="B226" s="25" t="s">
        <v>367</v>
      </c>
      <c r="C226" s="53">
        <f>725046+90096+2094+748+38616+4186</f>
        <v>860786</v>
      </c>
      <c r="D226" s="53"/>
      <c r="E226" s="53"/>
      <c r="F226" s="53"/>
      <c r="G226" s="53"/>
      <c r="H226" s="18"/>
      <c r="I226" s="18"/>
      <c r="J226" s="18"/>
      <c r="K226" s="129"/>
      <c r="L226" s="53"/>
      <c r="M226" s="53"/>
      <c r="N226" s="53"/>
      <c r="O226" s="53"/>
      <c r="P226" s="53"/>
      <c r="Q226" s="126">
        <f t="shared" si="35"/>
        <v>860786</v>
      </c>
    </row>
    <row r="227" spans="1:17" ht="15">
      <c r="A227" s="145" t="s">
        <v>534</v>
      </c>
      <c r="B227" s="25" t="s">
        <v>535</v>
      </c>
      <c r="C227" s="53">
        <f>990315+59712+5537</f>
        <v>1055564</v>
      </c>
      <c r="D227" s="53"/>
      <c r="E227" s="53"/>
      <c r="F227" s="53"/>
      <c r="G227" s="53"/>
      <c r="H227" s="18"/>
      <c r="I227" s="18"/>
      <c r="J227" s="18"/>
      <c r="K227" s="129"/>
      <c r="L227" s="53"/>
      <c r="M227" s="53"/>
      <c r="N227" s="53"/>
      <c r="O227" s="53"/>
      <c r="P227" s="53"/>
      <c r="Q227" s="126">
        <f t="shared" si="35"/>
        <v>1055564</v>
      </c>
    </row>
    <row r="228" spans="1:17" ht="15">
      <c r="A228" s="145" t="s">
        <v>536</v>
      </c>
      <c r="B228" s="25" t="s">
        <v>537</v>
      </c>
      <c r="C228" s="53">
        <f>347018+2046+16024</f>
        <v>365088</v>
      </c>
      <c r="D228" s="53"/>
      <c r="E228" s="53"/>
      <c r="F228" s="53"/>
      <c r="G228" s="53"/>
      <c r="H228" s="18"/>
      <c r="I228" s="18"/>
      <c r="J228" s="18"/>
      <c r="K228" s="129"/>
      <c r="L228" s="53"/>
      <c r="M228" s="53"/>
      <c r="N228" s="53"/>
      <c r="O228" s="53"/>
      <c r="P228" s="53"/>
      <c r="Q228" s="126">
        <f t="shared" si="35"/>
        <v>365088</v>
      </c>
    </row>
    <row r="229" spans="1:17" ht="15">
      <c r="A229" s="145" t="s">
        <v>538</v>
      </c>
      <c r="B229" s="25" t="s">
        <v>539</v>
      </c>
      <c r="C229" s="53">
        <f>1034098+133664+3076+80269+9052</f>
        <v>1260159</v>
      </c>
      <c r="D229" s="53"/>
      <c r="E229" s="53"/>
      <c r="F229" s="53"/>
      <c r="G229" s="53"/>
      <c r="H229" s="18"/>
      <c r="I229" s="18"/>
      <c r="J229" s="18"/>
      <c r="K229" s="129"/>
      <c r="L229" s="53"/>
      <c r="M229" s="53"/>
      <c r="N229" s="53"/>
      <c r="O229" s="53"/>
      <c r="P229" s="53"/>
      <c r="Q229" s="126">
        <f t="shared" si="35"/>
        <v>1260159</v>
      </c>
    </row>
    <row r="230" spans="1:17" ht="15">
      <c r="A230" s="125" t="s">
        <v>96</v>
      </c>
      <c r="B230" s="88" t="s">
        <v>212</v>
      </c>
      <c r="C230" s="91">
        <f>SUM(C231:C232)</f>
        <v>1274540</v>
      </c>
      <c r="D230" s="91">
        <f aca="true" t="shared" si="36" ref="D230:P230">SUM(D231:D232)</f>
        <v>0</v>
      </c>
      <c r="E230" s="91">
        <f t="shared" si="36"/>
        <v>0</v>
      </c>
      <c r="F230" s="91">
        <f t="shared" si="36"/>
        <v>0</v>
      </c>
      <c r="G230" s="91">
        <f t="shared" si="36"/>
        <v>0</v>
      </c>
      <c r="H230" s="91">
        <f t="shared" si="36"/>
        <v>0</v>
      </c>
      <c r="I230" s="91">
        <f t="shared" si="36"/>
        <v>0</v>
      </c>
      <c r="J230" s="91">
        <f t="shared" si="36"/>
        <v>0</v>
      </c>
      <c r="K230" s="91">
        <f t="shared" si="36"/>
        <v>0</v>
      </c>
      <c r="L230" s="91">
        <f t="shared" si="36"/>
        <v>0</v>
      </c>
      <c r="M230" s="91">
        <f t="shared" si="36"/>
        <v>0</v>
      </c>
      <c r="N230" s="91">
        <f t="shared" si="36"/>
        <v>0</v>
      </c>
      <c r="O230" s="91">
        <f t="shared" si="36"/>
        <v>0</v>
      </c>
      <c r="P230" s="91">
        <f t="shared" si="36"/>
        <v>0</v>
      </c>
      <c r="Q230" s="126">
        <f t="shared" si="35"/>
        <v>1274540</v>
      </c>
    </row>
    <row r="231" spans="1:17" ht="15">
      <c r="A231" s="250" t="s">
        <v>403</v>
      </c>
      <c r="B231" s="17" t="s">
        <v>162</v>
      </c>
      <c r="C231" s="53"/>
      <c r="D231" s="53"/>
      <c r="E231" s="53"/>
      <c r="F231" s="53"/>
      <c r="G231" s="53"/>
      <c r="H231" s="58"/>
      <c r="I231" s="53"/>
      <c r="J231" s="53"/>
      <c r="K231" s="53"/>
      <c r="L231" s="53"/>
      <c r="M231" s="53"/>
      <c r="N231" s="53"/>
      <c r="O231" s="53"/>
      <c r="P231" s="53"/>
      <c r="Q231" s="126">
        <f t="shared" si="35"/>
        <v>0</v>
      </c>
    </row>
    <row r="232" spans="1:17" ht="15">
      <c r="A232" s="250" t="s">
        <v>540</v>
      </c>
      <c r="B232" s="5" t="s">
        <v>383</v>
      </c>
      <c r="C232" s="53">
        <f>829891+261731+8643+43000+114336+5554+11385</f>
        <v>1274540</v>
      </c>
      <c r="D232" s="53"/>
      <c r="E232" s="53"/>
      <c r="F232" s="53"/>
      <c r="G232" s="53"/>
      <c r="H232" s="207"/>
      <c r="I232" s="18"/>
      <c r="J232" s="18"/>
      <c r="K232" s="53"/>
      <c r="L232" s="53"/>
      <c r="M232" s="53"/>
      <c r="N232" s="53"/>
      <c r="O232" s="53"/>
      <c r="P232" s="53"/>
      <c r="Q232" s="126">
        <f t="shared" si="35"/>
        <v>1274540</v>
      </c>
    </row>
    <row r="233" spans="1:17" ht="29.25">
      <c r="A233" s="125" t="s">
        <v>132</v>
      </c>
      <c r="B233" s="88" t="s">
        <v>213</v>
      </c>
      <c r="C233" s="91">
        <f aca="true" t="shared" si="37" ref="C233:P233">SUM(C234:C251)</f>
        <v>23973019</v>
      </c>
      <c r="D233" s="91">
        <f t="shared" si="37"/>
        <v>0</v>
      </c>
      <c r="E233" s="91">
        <f t="shared" si="37"/>
        <v>0</v>
      </c>
      <c r="F233" s="91">
        <f t="shared" si="37"/>
        <v>0</v>
      </c>
      <c r="G233" s="91">
        <f t="shared" si="37"/>
        <v>0</v>
      </c>
      <c r="H233" s="91">
        <f t="shared" si="37"/>
        <v>916055</v>
      </c>
      <c r="I233" s="91">
        <f t="shared" si="37"/>
        <v>0</v>
      </c>
      <c r="J233" s="91">
        <f t="shared" si="37"/>
        <v>347421</v>
      </c>
      <c r="K233" s="91">
        <f t="shared" si="37"/>
        <v>562056</v>
      </c>
      <c r="L233" s="91">
        <f t="shared" si="37"/>
        <v>0</v>
      </c>
      <c r="M233" s="91">
        <f t="shared" si="37"/>
        <v>505</v>
      </c>
      <c r="N233" s="91">
        <f t="shared" si="37"/>
        <v>19800</v>
      </c>
      <c r="O233" s="91">
        <f t="shared" si="37"/>
        <v>503075</v>
      </c>
      <c r="P233" s="91">
        <f t="shared" si="37"/>
        <v>0</v>
      </c>
      <c r="Q233" s="126">
        <f>SUM(C233:P233)</f>
        <v>26321931</v>
      </c>
    </row>
    <row r="234" spans="1:17" ht="15">
      <c r="A234" s="52" t="s">
        <v>214</v>
      </c>
      <c r="B234" s="25" t="s">
        <v>97</v>
      </c>
      <c r="C234" s="53">
        <f>856580+1583977+38410+24186+751365+21865+1140</f>
        <v>3277523</v>
      </c>
      <c r="D234" s="18"/>
      <c r="E234" s="53"/>
      <c r="F234" s="53"/>
      <c r="G234" s="53"/>
      <c r="H234" s="18"/>
      <c r="I234" s="18"/>
      <c r="J234" s="18"/>
      <c r="K234" s="18"/>
      <c r="L234" s="18"/>
      <c r="M234" s="18"/>
      <c r="N234" s="18"/>
      <c r="O234" s="53"/>
      <c r="P234" s="53"/>
      <c r="Q234" s="126">
        <f t="shared" si="35"/>
        <v>3277523</v>
      </c>
    </row>
    <row r="235" spans="1:17" ht="15">
      <c r="A235" s="52" t="s">
        <v>215</v>
      </c>
      <c r="B235" s="25" t="s">
        <v>686</v>
      </c>
      <c r="C235" s="53">
        <f>492055+422950+946379+12455+211973+46750+524984+4453+1200-1</f>
        <v>2663198</v>
      </c>
      <c r="D235" s="18"/>
      <c r="E235" s="53"/>
      <c r="F235" s="53"/>
      <c r="G235" s="53"/>
      <c r="H235" s="18"/>
      <c r="I235" s="18"/>
      <c r="J235" s="18"/>
      <c r="K235" s="18"/>
      <c r="L235" s="18"/>
      <c r="M235" s="18"/>
      <c r="N235" s="18"/>
      <c r="O235" s="53"/>
      <c r="P235" s="53"/>
      <c r="Q235" s="126">
        <f t="shared" si="35"/>
        <v>2663198</v>
      </c>
    </row>
    <row r="236" spans="1:17" ht="15">
      <c r="A236" s="52" t="s">
        <v>216</v>
      </c>
      <c r="B236" s="25" t="s">
        <v>98</v>
      </c>
      <c r="C236" s="53">
        <f>548877+697301+12017+600+328104+13192+10634</f>
        <v>1610725</v>
      </c>
      <c r="D236" s="18"/>
      <c r="E236" s="53"/>
      <c r="F236" s="53"/>
      <c r="G236" s="53"/>
      <c r="H236" s="18"/>
      <c r="I236" s="18"/>
      <c r="J236" s="18"/>
      <c r="K236" s="18"/>
      <c r="L236" s="18"/>
      <c r="M236" s="18"/>
      <c r="N236" s="18"/>
      <c r="O236" s="53"/>
      <c r="P236" s="53"/>
      <c r="Q236" s="126">
        <f t="shared" si="35"/>
        <v>1610725</v>
      </c>
    </row>
    <row r="237" spans="1:17" ht="15">
      <c r="A237" s="52" t="s">
        <v>217</v>
      </c>
      <c r="B237" s="25" t="s">
        <v>541</v>
      </c>
      <c r="C237" s="53">
        <f>300430+259088+3294+141392+5611+5841</f>
        <v>715656</v>
      </c>
      <c r="D237" s="18"/>
      <c r="E237" s="53"/>
      <c r="F237" s="53"/>
      <c r="G237" s="53"/>
      <c r="H237" s="18"/>
      <c r="I237" s="18"/>
      <c r="J237" s="209"/>
      <c r="K237" s="18"/>
      <c r="L237" s="18"/>
      <c r="M237" s="18"/>
      <c r="N237" s="18"/>
      <c r="O237" s="53"/>
      <c r="P237" s="53"/>
      <c r="Q237" s="126">
        <f t="shared" si="35"/>
        <v>715656</v>
      </c>
    </row>
    <row r="238" spans="1:17" ht="15">
      <c r="A238" s="52" t="s">
        <v>218</v>
      </c>
      <c r="B238" s="25" t="s">
        <v>130</v>
      </c>
      <c r="C238" s="53">
        <f>226596+12882</f>
        <v>239478</v>
      </c>
      <c r="D238" s="18"/>
      <c r="E238" s="53"/>
      <c r="F238" s="53"/>
      <c r="G238" s="53"/>
      <c r="H238" s="18"/>
      <c r="I238" s="18"/>
      <c r="J238" s="18">
        <v>347421</v>
      </c>
      <c r="K238" s="53"/>
      <c r="L238" s="53"/>
      <c r="M238" s="53"/>
      <c r="N238" s="53"/>
      <c r="O238" s="53"/>
      <c r="P238" s="53"/>
      <c r="Q238" s="126">
        <f t="shared" si="35"/>
        <v>586899</v>
      </c>
    </row>
    <row r="239" spans="1:17" ht="15">
      <c r="A239" s="52" t="s">
        <v>219</v>
      </c>
      <c r="B239" s="25" t="s">
        <v>131</v>
      </c>
      <c r="C239" s="53">
        <f>485098-2000</f>
        <v>483098</v>
      </c>
      <c r="D239" s="18"/>
      <c r="E239" s="53"/>
      <c r="F239" s="53"/>
      <c r="G239" s="53"/>
      <c r="H239" s="18"/>
      <c r="I239" s="18"/>
      <c r="J239" s="18"/>
      <c r="K239" s="18">
        <f>562056</f>
        <v>562056</v>
      </c>
      <c r="L239" s="53"/>
      <c r="M239" s="53"/>
      <c r="N239" s="53"/>
      <c r="O239" s="53"/>
      <c r="P239" s="53"/>
      <c r="Q239" s="126">
        <f t="shared" si="35"/>
        <v>1045154</v>
      </c>
    </row>
    <row r="240" spans="1:17" ht="15">
      <c r="A240" s="52" t="s">
        <v>220</v>
      </c>
      <c r="B240" s="25" t="s">
        <v>243</v>
      </c>
      <c r="C240" s="53">
        <f>275161+795+7899+13179-13393+214</f>
        <v>283855</v>
      </c>
      <c r="D240" s="18"/>
      <c r="E240" s="53"/>
      <c r="F240" s="53"/>
      <c r="G240" s="53"/>
      <c r="H240" s="18"/>
      <c r="I240" s="18"/>
      <c r="J240" s="18"/>
      <c r="K240" s="53"/>
      <c r="L240" s="53"/>
      <c r="M240" s="53">
        <v>505</v>
      </c>
      <c r="N240" s="18">
        <v>19800</v>
      </c>
      <c r="O240" s="57">
        <v>503075</v>
      </c>
      <c r="P240" s="53"/>
      <c r="Q240" s="126">
        <f>SUM(C240:P240)</f>
        <v>807235</v>
      </c>
    </row>
    <row r="241" spans="1:17" ht="15">
      <c r="A241" s="52" t="s">
        <v>221</v>
      </c>
      <c r="B241" s="25" t="s">
        <v>133</v>
      </c>
      <c r="C241" s="53">
        <f>564755+5533-2500-2450</f>
        <v>565338</v>
      </c>
      <c r="D241" s="18"/>
      <c r="E241" s="53"/>
      <c r="F241" s="53"/>
      <c r="G241" s="53"/>
      <c r="H241" s="18">
        <v>916055</v>
      </c>
      <c r="I241" s="18"/>
      <c r="J241" s="18"/>
      <c r="K241" s="53"/>
      <c r="L241" s="53"/>
      <c r="M241" s="53"/>
      <c r="N241" s="53"/>
      <c r="O241" s="53"/>
      <c r="P241" s="53"/>
      <c r="Q241" s="126">
        <f t="shared" si="35"/>
        <v>1481393</v>
      </c>
    </row>
    <row r="242" spans="1:17" ht="30">
      <c r="A242" s="145" t="s">
        <v>356</v>
      </c>
      <c r="B242" s="25" t="s">
        <v>355</v>
      </c>
      <c r="C242" s="53">
        <f>180000+8356+4360-30000</f>
        <v>162716</v>
      </c>
      <c r="D242" s="53"/>
      <c r="E242" s="53"/>
      <c r="F242" s="53"/>
      <c r="G242" s="53"/>
      <c r="H242" s="204"/>
      <c r="I242" s="53"/>
      <c r="J242" s="53"/>
      <c r="K242" s="53"/>
      <c r="L242" s="53"/>
      <c r="M242" s="53"/>
      <c r="N242" s="53"/>
      <c r="O242" s="53"/>
      <c r="P242" s="53"/>
      <c r="Q242" s="126">
        <f t="shared" si="35"/>
        <v>162716</v>
      </c>
    </row>
    <row r="243" spans="1:17" ht="15">
      <c r="A243" s="145" t="s">
        <v>542</v>
      </c>
      <c r="B243" s="25" t="s">
        <v>610</v>
      </c>
      <c r="C243" s="53">
        <f>1212097+8286+9148+7424+291812+12924+5502</f>
        <v>1547193</v>
      </c>
      <c r="D243" s="53"/>
      <c r="E243" s="53"/>
      <c r="F243" s="53"/>
      <c r="G243" s="53"/>
      <c r="H243" s="207"/>
      <c r="I243" s="18"/>
      <c r="J243" s="18"/>
      <c r="K243" s="53"/>
      <c r="L243" s="53"/>
      <c r="M243" s="53"/>
      <c r="N243" s="53"/>
      <c r="O243" s="53"/>
      <c r="P243" s="53"/>
      <c r="Q243" s="126">
        <f t="shared" si="35"/>
        <v>1547193</v>
      </c>
    </row>
    <row r="244" spans="1:17" ht="15">
      <c r="A244" s="145" t="s">
        <v>543</v>
      </c>
      <c r="B244" s="25" t="s">
        <v>544</v>
      </c>
      <c r="C244" s="53">
        <f>479502+3000+106464+6036</f>
        <v>595002</v>
      </c>
      <c r="D244" s="53"/>
      <c r="E244" s="53"/>
      <c r="F244" s="53"/>
      <c r="G244" s="53"/>
      <c r="H244" s="207"/>
      <c r="I244" s="18"/>
      <c r="J244" s="18"/>
      <c r="K244" s="53"/>
      <c r="L244" s="53"/>
      <c r="M244" s="53"/>
      <c r="N244" s="53"/>
      <c r="O244" s="53"/>
      <c r="P244" s="53"/>
      <c r="Q244" s="126">
        <f t="shared" si="35"/>
        <v>595002</v>
      </c>
    </row>
    <row r="245" spans="1:17" ht="15">
      <c r="A245" s="145" t="s">
        <v>545</v>
      </c>
      <c r="B245" s="25" t="s">
        <v>546</v>
      </c>
      <c r="C245" s="53">
        <f>657331+485593+7721+18696+226208+7852+440</f>
        <v>1403841</v>
      </c>
      <c r="D245" s="53"/>
      <c r="E245" s="53"/>
      <c r="F245" s="53"/>
      <c r="G245" s="53"/>
      <c r="H245" s="207"/>
      <c r="I245" s="18"/>
      <c r="J245" s="18"/>
      <c r="K245" s="53"/>
      <c r="L245" s="53"/>
      <c r="M245" s="53"/>
      <c r="N245" s="53"/>
      <c r="O245" s="53"/>
      <c r="P245" s="53"/>
      <c r="Q245" s="126">
        <f t="shared" si="35"/>
        <v>1403841</v>
      </c>
    </row>
    <row r="246" spans="1:17" ht="15">
      <c r="A246" s="145" t="s">
        <v>547</v>
      </c>
      <c r="B246" s="25" t="s">
        <v>548</v>
      </c>
      <c r="C246" s="53">
        <f>587937+212138+2792+13356+108518+5471+20</f>
        <v>930232</v>
      </c>
      <c r="D246" s="53"/>
      <c r="E246" s="53"/>
      <c r="F246" s="53"/>
      <c r="G246" s="53"/>
      <c r="H246" s="207"/>
      <c r="I246" s="18"/>
      <c r="J246" s="18"/>
      <c r="K246" s="53"/>
      <c r="L246" s="53"/>
      <c r="M246" s="53"/>
      <c r="N246" s="53"/>
      <c r="O246" s="53"/>
      <c r="P246" s="53"/>
      <c r="Q246" s="126">
        <f t="shared" si="35"/>
        <v>930232</v>
      </c>
    </row>
    <row r="247" spans="1:17" ht="15">
      <c r="A247" s="145" t="s">
        <v>549</v>
      </c>
      <c r="B247" s="25" t="s">
        <v>372</v>
      </c>
      <c r="C247" s="129">
        <f>697132+242951+3668+16168+112224+9386+350</f>
        <v>1081879</v>
      </c>
      <c r="D247" s="53"/>
      <c r="E247" s="53"/>
      <c r="F247" s="53"/>
      <c r="G247" s="53"/>
      <c r="H247" s="207"/>
      <c r="I247" s="18"/>
      <c r="J247" s="18"/>
      <c r="K247" s="53"/>
      <c r="L247" s="53"/>
      <c r="M247" s="53"/>
      <c r="N247" s="53"/>
      <c r="O247" s="53"/>
      <c r="P247" s="53"/>
      <c r="Q247" s="126">
        <f t="shared" si="35"/>
        <v>1081879</v>
      </c>
    </row>
    <row r="248" spans="1:17" ht="15">
      <c r="A248" s="145" t="s">
        <v>550</v>
      </c>
      <c r="B248" s="25" t="s">
        <v>373</v>
      </c>
      <c r="C248" s="129">
        <f>472366+271768</f>
        <v>744134</v>
      </c>
      <c r="D248" s="53"/>
      <c r="E248" s="53"/>
      <c r="F248" s="53"/>
      <c r="G248" s="53"/>
      <c r="H248" s="207"/>
      <c r="I248" s="18"/>
      <c r="J248" s="18"/>
      <c r="K248" s="53"/>
      <c r="L248" s="53"/>
      <c r="M248" s="53"/>
      <c r="N248" s="53"/>
      <c r="O248" s="53"/>
      <c r="P248" s="53"/>
      <c r="Q248" s="126">
        <f t="shared" si="35"/>
        <v>744134</v>
      </c>
    </row>
    <row r="249" spans="1:17" ht="15">
      <c r="A249" s="145" t="s">
        <v>551</v>
      </c>
      <c r="B249" s="25" t="s">
        <v>596</v>
      </c>
      <c r="C249" s="53">
        <f>636042+699564+13040+369016+9010</f>
        <v>1726672</v>
      </c>
      <c r="D249" s="53"/>
      <c r="E249" s="53"/>
      <c r="F249" s="53"/>
      <c r="G249" s="53"/>
      <c r="H249" s="207"/>
      <c r="I249" s="18"/>
      <c r="J249" s="18"/>
      <c r="K249" s="53"/>
      <c r="L249" s="53"/>
      <c r="M249" s="53"/>
      <c r="N249" s="53"/>
      <c r="O249" s="53"/>
      <c r="P249" s="53"/>
      <c r="Q249" s="126">
        <f t="shared" si="35"/>
        <v>1726672</v>
      </c>
    </row>
    <row r="250" spans="1:17" ht="15">
      <c r="A250" s="145" t="s">
        <v>552</v>
      </c>
      <c r="B250" s="25" t="s">
        <v>384</v>
      </c>
      <c r="C250" s="53">
        <f>1102938+1514792+26698+45246+743004+30782+5710</f>
        <v>3469170</v>
      </c>
      <c r="D250" s="53"/>
      <c r="E250" s="53"/>
      <c r="F250" s="53"/>
      <c r="G250" s="53"/>
      <c r="H250" s="58"/>
      <c r="I250" s="18"/>
      <c r="J250" s="18"/>
      <c r="K250" s="53"/>
      <c r="L250" s="53"/>
      <c r="M250" s="53"/>
      <c r="N250" s="53"/>
      <c r="O250" s="53"/>
      <c r="P250" s="53"/>
      <c r="Q250" s="126">
        <f t="shared" si="35"/>
        <v>3469170</v>
      </c>
    </row>
    <row r="251" spans="1:17" ht="15">
      <c r="A251" s="145" t="s">
        <v>606</v>
      </c>
      <c r="B251" s="25" t="s">
        <v>607</v>
      </c>
      <c r="C251" s="53">
        <f>669663+1036794+48777+671679+38076+8320</f>
        <v>2473309</v>
      </c>
      <c r="D251" s="53"/>
      <c r="E251" s="53"/>
      <c r="F251" s="53"/>
      <c r="G251" s="53"/>
      <c r="H251" s="204"/>
      <c r="I251" s="53"/>
      <c r="J251" s="53"/>
      <c r="K251" s="53"/>
      <c r="L251" s="53"/>
      <c r="M251" s="53"/>
      <c r="N251" s="53"/>
      <c r="O251" s="53"/>
      <c r="P251" s="53"/>
      <c r="Q251" s="126">
        <f t="shared" si="35"/>
        <v>2473309</v>
      </c>
    </row>
    <row r="252" spans="1:17" ht="15" customHeight="1">
      <c r="A252" s="125" t="s">
        <v>99</v>
      </c>
      <c r="B252" s="88" t="s">
        <v>100</v>
      </c>
      <c r="C252" s="91">
        <f>SUM(C253:C261)</f>
        <v>5606339</v>
      </c>
      <c r="D252" s="91">
        <f aca="true" t="shared" si="38" ref="D252:P252">SUM(D253:D261)</f>
        <v>0</v>
      </c>
      <c r="E252" s="91">
        <f t="shared" si="38"/>
        <v>0</v>
      </c>
      <c r="F252" s="91">
        <f t="shared" si="38"/>
        <v>0</v>
      </c>
      <c r="G252" s="91">
        <f t="shared" si="38"/>
        <v>0</v>
      </c>
      <c r="H252" s="91">
        <f t="shared" si="38"/>
        <v>0</v>
      </c>
      <c r="I252" s="91">
        <f t="shared" si="38"/>
        <v>0</v>
      </c>
      <c r="J252" s="91">
        <f t="shared" si="38"/>
        <v>0</v>
      </c>
      <c r="K252" s="91">
        <f t="shared" si="38"/>
        <v>155815</v>
      </c>
      <c r="L252" s="91">
        <f t="shared" si="38"/>
        <v>0</v>
      </c>
      <c r="M252" s="91">
        <f t="shared" si="38"/>
        <v>0</v>
      </c>
      <c r="N252" s="91">
        <f t="shared" si="38"/>
        <v>0</v>
      </c>
      <c r="O252" s="91">
        <f t="shared" si="38"/>
        <v>0</v>
      </c>
      <c r="P252" s="91">
        <f t="shared" si="38"/>
        <v>0</v>
      </c>
      <c r="Q252" s="126">
        <f t="shared" si="35"/>
        <v>5762154</v>
      </c>
    </row>
    <row r="253" spans="1:17" ht="15">
      <c r="A253" s="52" t="s">
        <v>222</v>
      </c>
      <c r="B253" s="25" t="s">
        <v>8</v>
      </c>
      <c r="C253" s="53">
        <f>799449+379402+6000+61879+260089+12959+47538+6700</f>
        <v>1574016</v>
      </c>
      <c r="D253" s="18"/>
      <c r="E253" s="53"/>
      <c r="F253" s="53"/>
      <c r="G253" s="53"/>
      <c r="H253" s="18"/>
      <c r="I253" s="18"/>
      <c r="J253" s="18"/>
      <c r="K253" s="18"/>
      <c r="L253" s="18"/>
      <c r="M253" s="18"/>
      <c r="N253" s="18"/>
      <c r="O253" s="53"/>
      <c r="P253" s="53"/>
      <c r="Q253" s="126">
        <f t="shared" si="35"/>
        <v>1574016</v>
      </c>
    </row>
    <row r="254" spans="1:17" ht="15">
      <c r="A254" s="52" t="s">
        <v>223</v>
      </c>
      <c r="B254" s="25" t="s">
        <v>108</v>
      </c>
      <c r="C254" s="53">
        <f>308027+192446+350+5000+8553+1595+160</f>
        <v>516131</v>
      </c>
      <c r="D254" s="18"/>
      <c r="E254" s="53"/>
      <c r="F254" s="53"/>
      <c r="G254" s="53"/>
      <c r="H254" s="18"/>
      <c r="I254" s="18"/>
      <c r="J254" s="18"/>
      <c r="K254" s="18"/>
      <c r="L254" s="18"/>
      <c r="M254" s="18"/>
      <c r="N254" s="18"/>
      <c r="O254" s="53"/>
      <c r="P254" s="53"/>
      <c r="Q254" s="126">
        <f t="shared" si="35"/>
        <v>516131</v>
      </c>
    </row>
    <row r="255" spans="1:17" ht="15">
      <c r="A255" s="52" t="s">
        <v>224</v>
      </c>
      <c r="B255" s="25" t="s">
        <v>374</v>
      </c>
      <c r="C255" s="9">
        <f>428354+105532+9553+3948+6800</f>
        <v>554187</v>
      </c>
      <c r="D255" s="18"/>
      <c r="E255" s="53"/>
      <c r="F255" s="53"/>
      <c r="G255" s="53"/>
      <c r="H255" s="18"/>
      <c r="I255" s="18"/>
      <c r="J255" s="18"/>
      <c r="K255" s="18"/>
      <c r="L255" s="18"/>
      <c r="M255" s="18"/>
      <c r="N255" s="18"/>
      <c r="O255" s="53"/>
      <c r="P255" s="53"/>
      <c r="Q255" s="126">
        <f aca="true" t="shared" si="39" ref="Q255:Q260">SUM(C255:P255)</f>
        <v>554187</v>
      </c>
    </row>
    <row r="256" spans="1:17" ht="15" customHeight="1">
      <c r="A256" s="52" t="s">
        <v>225</v>
      </c>
      <c r="B256" s="25" t="s">
        <v>781</v>
      </c>
      <c r="C256" s="18">
        <v>85212</v>
      </c>
      <c r="D256" s="18"/>
      <c r="E256" s="53"/>
      <c r="F256" s="53"/>
      <c r="G256" s="53"/>
      <c r="H256" s="18"/>
      <c r="I256" s="18"/>
      <c r="J256" s="18"/>
      <c r="K256" s="18">
        <f>155816-1</f>
        <v>155815</v>
      </c>
      <c r="L256" s="18"/>
      <c r="M256" s="18"/>
      <c r="N256" s="18"/>
      <c r="O256" s="53"/>
      <c r="P256" s="53"/>
      <c r="Q256" s="126">
        <f t="shared" si="39"/>
        <v>241027</v>
      </c>
    </row>
    <row r="257" spans="1:17" ht="15">
      <c r="A257" s="52" t="s">
        <v>339</v>
      </c>
      <c r="B257" s="25" t="s">
        <v>340</v>
      </c>
      <c r="C257" s="18">
        <f>787391+459395+10000+4950+250741+16414+540</f>
        <v>1529431</v>
      </c>
      <c r="D257" s="18"/>
      <c r="E257" s="53"/>
      <c r="F257" s="53"/>
      <c r="G257" s="53"/>
      <c r="H257" s="18"/>
      <c r="I257" s="18"/>
      <c r="J257" s="18"/>
      <c r="K257" s="9"/>
      <c r="L257" s="18"/>
      <c r="M257" s="18"/>
      <c r="N257" s="18"/>
      <c r="O257" s="53"/>
      <c r="P257" s="53"/>
      <c r="Q257" s="126">
        <f t="shared" si="39"/>
        <v>1529431</v>
      </c>
    </row>
    <row r="258" spans="1:17" ht="15">
      <c r="A258" s="52" t="s">
        <v>553</v>
      </c>
      <c r="B258" s="25" t="s">
        <v>368</v>
      </c>
      <c r="C258" s="18">
        <f>106388+75346+42569</f>
        <v>224303</v>
      </c>
      <c r="D258" s="18"/>
      <c r="E258" s="53"/>
      <c r="F258" s="53"/>
      <c r="G258" s="53"/>
      <c r="H258" s="18"/>
      <c r="I258" s="18"/>
      <c r="J258" s="18"/>
      <c r="K258" s="9"/>
      <c r="L258" s="18"/>
      <c r="M258" s="18"/>
      <c r="N258" s="18"/>
      <c r="O258" s="53"/>
      <c r="P258" s="53"/>
      <c r="Q258" s="126">
        <f t="shared" si="39"/>
        <v>224303</v>
      </c>
    </row>
    <row r="259" spans="1:17" ht="15">
      <c r="A259" s="52" t="s">
        <v>554</v>
      </c>
      <c r="B259" s="25" t="s">
        <v>375</v>
      </c>
      <c r="C259" s="18">
        <f>306102+166275-44+662+5595+87325</f>
        <v>565915</v>
      </c>
      <c r="D259" s="18"/>
      <c r="E259" s="53"/>
      <c r="F259" s="53"/>
      <c r="G259" s="53"/>
      <c r="H259" s="18"/>
      <c r="I259" s="18"/>
      <c r="J259" s="18"/>
      <c r="K259" s="9"/>
      <c r="L259" s="18"/>
      <c r="M259" s="18"/>
      <c r="N259" s="18"/>
      <c r="O259" s="53"/>
      <c r="P259" s="53"/>
      <c r="Q259" s="126">
        <f t="shared" si="39"/>
        <v>565915</v>
      </c>
    </row>
    <row r="260" spans="1:17" ht="15">
      <c r="A260" s="52" t="s">
        <v>555</v>
      </c>
      <c r="B260" s="25" t="s">
        <v>385</v>
      </c>
      <c r="C260" s="18">
        <f>297047+135099+77038+60</f>
        <v>509244</v>
      </c>
      <c r="D260" s="18"/>
      <c r="E260" s="53"/>
      <c r="F260" s="53"/>
      <c r="G260" s="53"/>
      <c r="H260" s="18"/>
      <c r="I260" s="18"/>
      <c r="J260" s="18"/>
      <c r="K260" s="9"/>
      <c r="L260" s="18"/>
      <c r="M260" s="18"/>
      <c r="N260" s="18"/>
      <c r="O260" s="53"/>
      <c r="P260" s="53"/>
      <c r="Q260" s="126">
        <f t="shared" si="39"/>
        <v>509244</v>
      </c>
    </row>
    <row r="261" spans="1:17" ht="30">
      <c r="A261" s="145" t="s">
        <v>788</v>
      </c>
      <c r="B261" s="25" t="s">
        <v>386</v>
      </c>
      <c r="C261" s="9">
        <f>148000-23900-30000-46200</f>
        <v>47900</v>
      </c>
      <c r="D261" s="18"/>
      <c r="E261" s="53"/>
      <c r="F261" s="53"/>
      <c r="G261" s="53"/>
      <c r="H261" s="18"/>
      <c r="I261" s="18"/>
      <c r="J261" s="18"/>
      <c r="K261" s="9"/>
      <c r="L261" s="18"/>
      <c r="M261" s="18"/>
      <c r="N261" s="18"/>
      <c r="O261" s="53"/>
      <c r="P261" s="53"/>
      <c r="Q261" s="126">
        <f aca="true" t="shared" si="40" ref="Q261:Q269">SUM(C261:P261)</f>
        <v>47900</v>
      </c>
    </row>
    <row r="262" spans="1:17" ht="15">
      <c r="A262" s="125" t="s">
        <v>134</v>
      </c>
      <c r="B262" s="88" t="s">
        <v>135</v>
      </c>
      <c r="C262" s="34">
        <f>SUM(C263+C265+C269)</f>
        <v>2591248</v>
      </c>
      <c r="D262" s="34">
        <f aca="true" t="shared" si="41" ref="D262:P262">SUM(D263+D265+D269)</f>
        <v>0</v>
      </c>
      <c r="E262" s="34">
        <f t="shared" si="41"/>
        <v>0</v>
      </c>
      <c r="F262" s="34">
        <f t="shared" si="41"/>
        <v>0</v>
      </c>
      <c r="G262" s="34">
        <f t="shared" si="41"/>
        <v>0</v>
      </c>
      <c r="H262" s="34">
        <f t="shared" si="41"/>
        <v>100741</v>
      </c>
      <c r="I262" s="34">
        <f t="shared" si="41"/>
        <v>0</v>
      </c>
      <c r="J262" s="34">
        <f t="shared" si="41"/>
        <v>21077</v>
      </c>
      <c r="K262" s="34">
        <f t="shared" si="41"/>
        <v>97399</v>
      </c>
      <c r="L262" s="34">
        <f t="shared" si="41"/>
        <v>20199</v>
      </c>
      <c r="M262" s="34">
        <f t="shared" si="41"/>
        <v>16244</v>
      </c>
      <c r="N262" s="34">
        <f t="shared" si="41"/>
        <v>12191</v>
      </c>
      <c r="O262" s="34">
        <f t="shared" si="41"/>
        <v>32059</v>
      </c>
      <c r="P262" s="34">
        <f t="shared" si="41"/>
        <v>0</v>
      </c>
      <c r="Q262" s="126">
        <f t="shared" si="40"/>
        <v>2891158</v>
      </c>
    </row>
    <row r="263" spans="1:17" ht="15">
      <c r="A263" s="231" t="s">
        <v>556</v>
      </c>
      <c r="B263" s="254" t="s">
        <v>557</v>
      </c>
      <c r="C263" s="157">
        <f aca="true" t="shared" si="42" ref="C263:P263">C264</f>
        <v>449845</v>
      </c>
      <c r="D263" s="157">
        <f t="shared" si="42"/>
        <v>0</v>
      </c>
      <c r="E263" s="157">
        <f t="shared" si="42"/>
        <v>0</v>
      </c>
      <c r="F263" s="91">
        <f t="shared" si="42"/>
        <v>0</v>
      </c>
      <c r="G263" s="91">
        <f t="shared" si="42"/>
        <v>0</v>
      </c>
      <c r="H263" s="91">
        <f t="shared" si="42"/>
        <v>22141</v>
      </c>
      <c r="I263" s="91">
        <f t="shared" si="42"/>
        <v>0</v>
      </c>
      <c r="J263" s="91">
        <f t="shared" si="42"/>
        <v>11895</v>
      </c>
      <c r="K263" s="91">
        <f t="shared" si="42"/>
        <v>13366</v>
      </c>
      <c r="L263" s="91">
        <f>L264</f>
        <v>20199</v>
      </c>
      <c r="M263" s="91">
        <f>M264</f>
        <v>16244</v>
      </c>
      <c r="N263" s="91">
        <f t="shared" si="42"/>
        <v>12191</v>
      </c>
      <c r="O263" s="91">
        <f t="shared" si="42"/>
        <v>15421</v>
      </c>
      <c r="P263" s="91">
        <f t="shared" si="42"/>
        <v>0</v>
      </c>
      <c r="Q263" s="126">
        <f t="shared" si="40"/>
        <v>561302</v>
      </c>
    </row>
    <row r="264" spans="1:17" ht="15">
      <c r="A264" s="145" t="s">
        <v>558</v>
      </c>
      <c r="B264" s="17" t="s">
        <v>557</v>
      </c>
      <c r="C264" s="129">
        <f>330000+30000+89845</f>
        <v>449845</v>
      </c>
      <c r="D264" s="129"/>
      <c r="E264" s="129"/>
      <c r="F264" s="129"/>
      <c r="G264" s="129"/>
      <c r="H264" s="9">
        <v>22141</v>
      </c>
      <c r="I264" s="9"/>
      <c r="J264" s="18">
        <v>11895</v>
      </c>
      <c r="K264" s="129">
        <v>13366</v>
      </c>
      <c r="L264" s="18">
        <v>20199</v>
      </c>
      <c r="M264" s="18">
        <v>16244</v>
      </c>
      <c r="N264" s="18">
        <v>12191</v>
      </c>
      <c r="O264" s="57">
        <v>15421</v>
      </c>
      <c r="P264" s="53"/>
      <c r="Q264" s="126">
        <f t="shared" si="40"/>
        <v>561302</v>
      </c>
    </row>
    <row r="265" spans="1:17" ht="15">
      <c r="A265" s="231" t="s">
        <v>559</v>
      </c>
      <c r="B265" s="254" t="s">
        <v>560</v>
      </c>
      <c r="C265" s="91">
        <f>SUM(C266+C267+C268)</f>
        <v>2139070</v>
      </c>
      <c r="D265" s="91">
        <f aca="true" t="shared" si="43" ref="D265:P265">SUM(D266+D267+D268)</f>
        <v>0</v>
      </c>
      <c r="E265" s="91">
        <f t="shared" si="43"/>
        <v>0</v>
      </c>
      <c r="F265" s="91">
        <f t="shared" si="43"/>
        <v>0</v>
      </c>
      <c r="G265" s="91">
        <f t="shared" si="43"/>
        <v>0</v>
      </c>
      <c r="H265" s="91">
        <f t="shared" si="43"/>
        <v>78600</v>
      </c>
      <c r="I265" s="91">
        <f t="shared" si="43"/>
        <v>0</v>
      </c>
      <c r="J265" s="91">
        <f t="shared" si="43"/>
        <v>9182</v>
      </c>
      <c r="K265" s="91">
        <f t="shared" si="43"/>
        <v>84033</v>
      </c>
      <c r="L265" s="91">
        <f t="shared" si="43"/>
        <v>0</v>
      </c>
      <c r="M265" s="91">
        <f t="shared" si="43"/>
        <v>0</v>
      </c>
      <c r="N265" s="91">
        <f t="shared" si="43"/>
        <v>0</v>
      </c>
      <c r="O265" s="91">
        <f t="shared" si="43"/>
        <v>16638</v>
      </c>
      <c r="P265" s="91">
        <f t="shared" si="43"/>
        <v>0</v>
      </c>
      <c r="Q265" s="126">
        <f t="shared" si="40"/>
        <v>2327523</v>
      </c>
    </row>
    <row r="266" spans="1:17" ht="15">
      <c r="A266" s="145" t="s">
        <v>561</v>
      </c>
      <c r="B266" s="17" t="s">
        <v>562</v>
      </c>
      <c r="C266" s="53">
        <f>339020+80000+30000-4280</f>
        <v>444740</v>
      </c>
      <c r="D266" s="53"/>
      <c r="E266" s="53"/>
      <c r="F266" s="53"/>
      <c r="G266" s="53"/>
      <c r="H266" s="18"/>
      <c r="I266" s="18"/>
      <c r="J266" s="18"/>
      <c r="K266" s="18"/>
      <c r="L266" s="18"/>
      <c r="M266" s="53"/>
      <c r="N266" s="53"/>
      <c r="O266" s="53"/>
      <c r="P266" s="53"/>
      <c r="Q266" s="126">
        <f t="shared" si="40"/>
        <v>444740</v>
      </c>
    </row>
    <row r="267" spans="1:17" ht="15">
      <c r="A267" s="145" t="s">
        <v>563</v>
      </c>
      <c r="B267" s="284" t="s">
        <v>564</v>
      </c>
      <c r="C267" s="53">
        <f>484346+340000+484346+7000+196+111177+111177+8000+175566-18124-18157+4200-2</f>
        <v>1689725</v>
      </c>
      <c r="D267" s="273"/>
      <c r="E267" s="53"/>
      <c r="F267" s="53"/>
      <c r="G267" s="53"/>
      <c r="H267" s="18">
        <v>78600</v>
      </c>
      <c r="I267" s="18"/>
      <c r="J267" s="18">
        <v>9182</v>
      </c>
      <c r="K267" s="53">
        <v>84033</v>
      </c>
      <c r="L267" s="53"/>
      <c r="M267" s="53"/>
      <c r="N267" s="53"/>
      <c r="O267" s="53">
        <v>16638</v>
      </c>
      <c r="P267" s="53"/>
      <c r="Q267" s="126">
        <f t="shared" si="40"/>
        <v>1878178</v>
      </c>
    </row>
    <row r="268" spans="1:17" ht="15">
      <c r="A268" s="145" t="s">
        <v>684</v>
      </c>
      <c r="B268" s="17" t="s">
        <v>620</v>
      </c>
      <c r="C268" s="129">
        <v>4605</v>
      </c>
      <c r="D268" s="273"/>
      <c r="E268" s="53"/>
      <c r="F268" s="53"/>
      <c r="G268" s="53"/>
      <c r="H268" s="18"/>
      <c r="I268" s="18"/>
      <c r="J268" s="18"/>
      <c r="K268" s="53"/>
      <c r="L268" s="53"/>
      <c r="M268" s="53"/>
      <c r="N268" s="53"/>
      <c r="O268" s="53"/>
      <c r="P268" s="53"/>
      <c r="Q268" s="126">
        <f t="shared" si="40"/>
        <v>4605</v>
      </c>
    </row>
    <row r="269" spans="1:17" ht="15">
      <c r="A269" s="250" t="s">
        <v>565</v>
      </c>
      <c r="B269" s="5" t="s">
        <v>566</v>
      </c>
      <c r="C269" s="53">
        <f>1000+1333</f>
        <v>2333</v>
      </c>
      <c r="D269" s="53"/>
      <c r="E269" s="53"/>
      <c r="F269" s="53"/>
      <c r="G269" s="53"/>
      <c r="H269" s="18"/>
      <c r="I269" s="18"/>
      <c r="J269" s="18"/>
      <c r="K269" s="53"/>
      <c r="L269" s="53"/>
      <c r="M269" s="53"/>
      <c r="N269" s="53"/>
      <c r="O269" s="53"/>
      <c r="P269" s="53"/>
      <c r="Q269" s="126">
        <f t="shared" si="40"/>
        <v>2333</v>
      </c>
    </row>
    <row r="270" spans="1:17" ht="19.5" customHeight="1">
      <c r="A270" s="125" t="s">
        <v>333</v>
      </c>
      <c r="B270" s="88" t="s">
        <v>334</v>
      </c>
      <c r="C270" s="157">
        <f>834192+50307+4708-600+16370+354</f>
        <v>905331</v>
      </c>
      <c r="D270" s="91"/>
      <c r="E270" s="91"/>
      <c r="F270" s="91"/>
      <c r="G270" s="91"/>
      <c r="H270" s="34"/>
      <c r="I270" s="34"/>
      <c r="J270" s="34"/>
      <c r="K270" s="91"/>
      <c r="L270" s="91"/>
      <c r="M270" s="91"/>
      <c r="N270" s="91"/>
      <c r="O270" s="91"/>
      <c r="P270" s="91"/>
      <c r="Q270" s="126">
        <f>SUM(C270:P270)</f>
        <v>905331</v>
      </c>
    </row>
    <row r="271" spans="1:17" ht="30" thickBot="1">
      <c r="A271" s="160" t="s">
        <v>101</v>
      </c>
      <c r="B271" s="161" t="s">
        <v>226</v>
      </c>
      <c r="C271" s="162">
        <f aca="true" t="shared" si="44" ref="C271:Q271">SUM(C272:C316)</f>
        <v>14634203</v>
      </c>
      <c r="D271" s="162">
        <f t="shared" si="44"/>
        <v>0</v>
      </c>
      <c r="E271" s="162">
        <f t="shared" si="44"/>
        <v>0</v>
      </c>
      <c r="F271" s="162">
        <f t="shared" si="44"/>
        <v>0</v>
      </c>
      <c r="G271" s="162">
        <f t="shared" si="44"/>
        <v>0</v>
      </c>
      <c r="H271" s="162">
        <f t="shared" si="44"/>
        <v>0</v>
      </c>
      <c r="I271" s="162">
        <f t="shared" si="44"/>
        <v>0</v>
      </c>
      <c r="J271" s="162">
        <f t="shared" si="44"/>
        <v>3246</v>
      </c>
      <c r="K271" s="162">
        <f t="shared" si="44"/>
        <v>33956</v>
      </c>
      <c r="L271" s="162">
        <f t="shared" si="44"/>
        <v>0</v>
      </c>
      <c r="M271" s="162">
        <f t="shared" si="44"/>
        <v>0</v>
      </c>
      <c r="N271" s="162">
        <f t="shared" si="44"/>
        <v>0</v>
      </c>
      <c r="O271" s="162">
        <f t="shared" si="44"/>
        <v>129</v>
      </c>
      <c r="P271" s="162">
        <f t="shared" si="44"/>
        <v>0</v>
      </c>
      <c r="Q271" s="136">
        <f t="shared" si="44"/>
        <v>14671534</v>
      </c>
    </row>
    <row r="272" spans="1:17" ht="30.75" customHeight="1">
      <c r="A272" s="142" t="s">
        <v>286</v>
      </c>
      <c r="B272" s="36" t="s">
        <v>287</v>
      </c>
      <c r="C272" s="79">
        <v>10504</v>
      </c>
      <c r="D272" s="141"/>
      <c r="E272" s="141"/>
      <c r="F272" s="141"/>
      <c r="G272" s="141"/>
      <c r="H272" s="158"/>
      <c r="I272" s="158"/>
      <c r="J272" s="158"/>
      <c r="K272" s="141"/>
      <c r="L272" s="141"/>
      <c r="M272" s="141"/>
      <c r="N272" s="141"/>
      <c r="O272" s="168"/>
      <c r="P272" s="120"/>
      <c r="Q272" s="123">
        <f aca="true" t="shared" si="45" ref="Q272:Q337">SUM(C272:P272)</f>
        <v>10504</v>
      </c>
    </row>
    <row r="273" spans="1:17" ht="30.75" customHeight="1">
      <c r="A273" s="163" t="s">
        <v>305</v>
      </c>
      <c r="B273" s="164" t="s">
        <v>306</v>
      </c>
      <c r="C273" s="18">
        <f>73641+7048+22519+1</f>
        <v>103209</v>
      </c>
      <c r="D273" s="34"/>
      <c r="E273" s="34"/>
      <c r="F273" s="34"/>
      <c r="G273" s="34"/>
      <c r="H273" s="34"/>
      <c r="I273" s="34"/>
      <c r="J273" s="34">
        <f>336-336</f>
        <v>0</v>
      </c>
      <c r="K273" s="34">
        <f>710-710</f>
        <v>0</v>
      </c>
      <c r="L273" s="34"/>
      <c r="M273" s="34"/>
      <c r="N273" s="34"/>
      <c r="O273" s="91">
        <v>129</v>
      </c>
      <c r="P273" s="91"/>
      <c r="Q273" s="126">
        <f>SUM(C273:P273)</f>
        <v>103338</v>
      </c>
    </row>
    <row r="274" spans="1:17" ht="15.75">
      <c r="A274" s="163" t="s">
        <v>319</v>
      </c>
      <c r="B274" s="165" t="s">
        <v>320</v>
      </c>
      <c r="C274" s="18">
        <v>96390</v>
      </c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91"/>
      <c r="P274" s="91"/>
      <c r="Q274" s="126">
        <f t="shared" si="45"/>
        <v>96390</v>
      </c>
    </row>
    <row r="275" spans="1:17" ht="31.5">
      <c r="A275" s="163" t="s">
        <v>321</v>
      </c>
      <c r="B275" s="165" t="s">
        <v>567</v>
      </c>
      <c r="C275" s="53">
        <v>33892</v>
      </c>
      <c r="D275" s="18"/>
      <c r="E275" s="53"/>
      <c r="F275" s="53"/>
      <c r="G275" s="53"/>
      <c r="H275" s="18"/>
      <c r="I275" s="18"/>
      <c r="J275" s="18"/>
      <c r="K275" s="18"/>
      <c r="L275" s="18"/>
      <c r="M275" s="18"/>
      <c r="N275" s="18"/>
      <c r="O275" s="53"/>
      <c r="P275" s="53"/>
      <c r="Q275" s="126">
        <f t="shared" si="45"/>
        <v>33892</v>
      </c>
    </row>
    <row r="276" spans="1:17" ht="45">
      <c r="A276" s="163" t="s">
        <v>568</v>
      </c>
      <c r="B276" s="255" t="s">
        <v>569</v>
      </c>
      <c r="C276" s="53">
        <v>19879</v>
      </c>
      <c r="D276" s="18"/>
      <c r="E276" s="53"/>
      <c r="F276" s="53"/>
      <c r="G276" s="53"/>
      <c r="H276" s="18"/>
      <c r="I276" s="18"/>
      <c r="J276" s="18"/>
      <c r="K276" s="18"/>
      <c r="L276" s="18"/>
      <c r="M276" s="18"/>
      <c r="N276" s="18"/>
      <c r="O276" s="53"/>
      <c r="P276" s="53"/>
      <c r="Q276" s="126">
        <f t="shared" si="45"/>
        <v>19879</v>
      </c>
    </row>
    <row r="277" spans="1:17" ht="45">
      <c r="A277" s="163" t="s">
        <v>570</v>
      </c>
      <c r="B277" s="255" t="s">
        <v>571</v>
      </c>
      <c r="C277" s="53">
        <f>14319-209</f>
        <v>14110</v>
      </c>
      <c r="D277" s="18"/>
      <c r="E277" s="53"/>
      <c r="F277" s="53"/>
      <c r="G277" s="53"/>
      <c r="H277" s="18"/>
      <c r="I277" s="18"/>
      <c r="J277" s="18"/>
      <c r="K277" s="18"/>
      <c r="L277" s="18"/>
      <c r="M277" s="18"/>
      <c r="N277" s="18"/>
      <c r="O277" s="53"/>
      <c r="P277" s="53"/>
      <c r="Q277" s="126">
        <f t="shared" si="45"/>
        <v>14110</v>
      </c>
    </row>
    <row r="278" spans="1:17" ht="45">
      <c r="A278" s="163" t="s">
        <v>572</v>
      </c>
      <c r="B278" s="255" t="s">
        <v>573</v>
      </c>
      <c r="C278" s="53">
        <f>11004-152</f>
        <v>10852</v>
      </c>
      <c r="D278" s="18"/>
      <c r="E278" s="53"/>
      <c r="F278" s="53"/>
      <c r="G278" s="53"/>
      <c r="H278" s="18"/>
      <c r="I278" s="18"/>
      <c r="J278" s="18"/>
      <c r="K278" s="18"/>
      <c r="L278" s="18"/>
      <c r="M278" s="18"/>
      <c r="N278" s="18"/>
      <c r="O278" s="53"/>
      <c r="P278" s="53"/>
      <c r="Q278" s="126">
        <f t="shared" si="45"/>
        <v>10852</v>
      </c>
    </row>
    <row r="279" spans="1:17" ht="45">
      <c r="A279" s="163" t="s">
        <v>574</v>
      </c>
      <c r="B279" s="255" t="s">
        <v>575</v>
      </c>
      <c r="C279" s="53">
        <f>8188-57</f>
        <v>8131</v>
      </c>
      <c r="D279" s="18"/>
      <c r="E279" s="53"/>
      <c r="F279" s="53"/>
      <c r="G279" s="53"/>
      <c r="H279" s="18"/>
      <c r="I279" s="18"/>
      <c r="J279" s="18"/>
      <c r="K279" s="18"/>
      <c r="L279" s="18"/>
      <c r="M279" s="18"/>
      <c r="N279" s="18"/>
      <c r="O279" s="53"/>
      <c r="P279" s="53"/>
      <c r="Q279" s="126">
        <f t="shared" si="45"/>
        <v>8131</v>
      </c>
    </row>
    <row r="280" spans="1:17" ht="45">
      <c r="A280" s="163" t="s">
        <v>576</v>
      </c>
      <c r="B280" s="255" t="s">
        <v>577</v>
      </c>
      <c r="C280" s="53">
        <f>3425-196</f>
        <v>3229</v>
      </c>
      <c r="D280" s="18"/>
      <c r="E280" s="53"/>
      <c r="F280" s="53"/>
      <c r="G280" s="53"/>
      <c r="H280" s="18"/>
      <c r="I280" s="18"/>
      <c r="J280" s="18"/>
      <c r="K280" s="18"/>
      <c r="L280" s="18"/>
      <c r="M280" s="18"/>
      <c r="N280" s="18"/>
      <c r="O280" s="53"/>
      <c r="P280" s="53"/>
      <c r="Q280" s="126">
        <f t="shared" si="45"/>
        <v>3229</v>
      </c>
    </row>
    <row r="281" spans="1:17" ht="45">
      <c r="A281" s="163" t="s">
        <v>578</v>
      </c>
      <c r="B281" s="255" t="s">
        <v>579</v>
      </c>
      <c r="C281" s="53">
        <v>63</v>
      </c>
      <c r="D281" s="18"/>
      <c r="E281" s="53"/>
      <c r="F281" s="53"/>
      <c r="G281" s="53"/>
      <c r="H281" s="18"/>
      <c r="I281" s="18"/>
      <c r="J281" s="18"/>
      <c r="K281" s="18"/>
      <c r="L281" s="18"/>
      <c r="M281" s="18"/>
      <c r="N281" s="18"/>
      <c r="O281" s="53"/>
      <c r="P281" s="53"/>
      <c r="Q281" s="126">
        <f t="shared" si="45"/>
        <v>63</v>
      </c>
    </row>
    <row r="282" spans="1:17" ht="45">
      <c r="A282" s="163" t="s">
        <v>580</v>
      </c>
      <c r="B282" s="255" t="s">
        <v>581</v>
      </c>
      <c r="C282" s="53">
        <v>729</v>
      </c>
      <c r="D282" s="18"/>
      <c r="E282" s="53"/>
      <c r="F282" s="53"/>
      <c r="G282" s="53"/>
      <c r="H282" s="18"/>
      <c r="I282" s="18"/>
      <c r="J282" s="18"/>
      <c r="K282" s="18"/>
      <c r="L282" s="18"/>
      <c r="M282" s="18"/>
      <c r="N282" s="18"/>
      <c r="O282" s="53"/>
      <c r="P282" s="53"/>
      <c r="Q282" s="126">
        <f t="shared" si="45"/>
        <v>729</v>
      </c>
    </row>
    <row r="283" spans="1:17" ht="45">
      <c r="A283" s="163" t="s">
        <v>582</v>
      </c>
      <c r="B283" s="255" t="s">
        <v>583</v>
      </c>
      <c r="C283" s="53">
        <v>57723</v>
      </c>
      <c r="D283" s="18"/>
      <c r="E283" s="53"/>
      <c r="F283" s="53"/>
      <c r="G283" s="53"/>
      <c r="H283" s="18"/>
      <c r="I283" s="18"/>
      <c r="J283" s="18"/>
      <c r="K283" s="18"/>
      <c r="L283" s="18"/>
      <c r="M283" s="18"/>
      <c r="N283" s="18"/>
      <c r="O283" s="53"/>
      <c r="P283" s="53"/>
      <c r="Q283" s="126">
        <f t="shared" si="45"/>
        <v>57723</v>
      </c>
    </row>
    <row r="284" spans="1:17" ht="30">
      <c r="A284" s="163" t="s">
        <v>584</v>
      </c>
      <c r="B284" s="255" t="s">
        <v>585</v>
      </c>
      <c r="C284" s="53">
        <f>4073624-211973-3000-1000000</f>
        <v>2858651</v>
      </c>
      <c r="D284" s="18"/>
      <c r="E284" s="53"/>
      <c r="F284" s="53"/>
      <c r="G284" s="53"/>
      <c r="H284" s="18"/>
      <c r="I284" s="18"/>
      <c r="J284" s="18"/>
      <c r="K284" s="18"/>
      <c r="L284" s="18"/>
      <c r="M284" s="18"/>
      <c r="N284" s="18"/>
      <c r="O284" s="53"/>
      <c r="P284" s="53"/>
      <c r="Q284" s="126">
        <f t="shared" si="45"/>
        <v>2858651</v>
      </c>
    </row>
    <row r="285" spans="1:17" ht="15" customHeight="1">
      <c r="A285" s="163" t="s">
        <v>658</v>
      </c>
      <c r="B285" s="255" t="s">
        <v>659</v>
      </c>
      <c r="C285" s="53">
        <f>116898+6900</f>
        <v>123798</v>
      </c>
      <c r="D285" s="18"/>
      <c r="E285" s="53"/>
      <c r="F285" s="53"/>
      <c r="G285" s="53"/>
      <c r="H285" s="18"/>
      <c r="I285" s="18"/>
      <c r="J285" s="18"/>
      <c r="K285" s="18"/>
      <c r="L285" s="18"/>
      <c r="M285" s="18"/>
      <c r="N285" s="18"/>
      <c r="O285" s="53"/>
      <c r="P285" s="53"/>
      <c r="Q285" s="126">
        <f t="shared" si="45"/>
        <v>123798</v>
      </c>
    </row>
    <row r="286" spans="1:17" ht="30">
      <c r="A286" s="13" t="s">
        <v>586</v>
      </c>
      <c r="B286" s="255" t="s">
        <v>587</v>
      </c>
      <c r="C286" s="53">
        <v>5000</v>
      </c>
      <c r="D286" s="18"/>
      <c r="E286" s="53"/>
      <c r="F286" s="53"/>
      <c r="G286" s="53"/>
      <c r="H286" s="18"/>
      <c r="I286" s="18"/>
      <c r="J286" s="18"/>
      <c r="K286" s="18"/>
      <c r="L286" s="18"/>
      <c r="M286" s="18"/>
      <c r="N286" s="18"/>
      <c r="O286" s="53"/>
      <c r="P286" s="53"/>
      <c r="Q286" s="126">
        <f t="shared" si="45"/>
        <v>5000</v>
      </c>
    </row>
    <row r="287" spans="1:17" ht="30">
      <c r="A287" s="52" t="s">
        <v>257</v>
      </c>
      <c r="B287" s="144" t="s">
        <v>588</v>
      </c>
      <c r="C287" s="53">
        <f>8369421+348862+26200</f>
        <v>8744483</v>
      </c>
      <c r="D287" s="18"/>
      <c r="E287" s="53"/>
      <c r="F287" s="53"/>
      <c r="G287" s="53"/>
      <c r="H287" s="18"/>
      <c r="I287" s="18"/>
      <c r="J287" s="18"/>
      <c r="K287" s="18"/>
      <c r="L287" s="18"/>
      <c r="M287" s="18"/>
      <c r="N287" s="18"/>
      <c r="O287" s="53"/>
      <c r="P287" s="53"/>
      <c r="Q287" s="126">
        <f t="shared" si="45"/>
        <v>8744483</v>
      </c>
    </row>
    <row r="288" spans="1:17" ht="28.5" customHeight="1">
      <c r="A288" s="142" t="s">
        <v>262</v>
      </c>
      <c r="B288" s="166" t="s">
        <v>322</v>
      </c>
      <c r="C288" s="53">
        <v>4229</v>
      </c>
      <c r="D288" s="18"/>
      <c r="E288" s="53"/>
      <c r="F288" s="53"/>
      <c r="G288" s="53"/>
      <c r="H288" s="18"/>
      <c r="I288" s="18"/>
      <c r="J288" s="18"/>
      <c r="K288" s="18"/>
      <c r="L288" s="18"/>
      <c r="M288" s="18"/>
      <c r="N288" s="18"/>
      <c r="O288" s="53"/>
      <c r="P288" s="53"/>
      <c r="Q288" s="126">
        <f t="shared" si="45"/>
        <v>4229</v>
      </c>
    </row>
    <row r="289" spans="1:17" ht="30">
      <c r="A289" s="52" t="s">
        <v>290</v>
      </c>
      <c r="B289" s="167" t="s">
        <v>289</v>
      </c>
      <c r="C289" s="53">
        <f>110000+102149-3329+24000</f>
        <v>232820</v>
      </c>
      <c r="D289" s="53"/>
      <c r="E289" s="53"/>
      <c r="F289" s="53"/>
      <c r="G289" s="53"/>
      <c r="H289" s="18"/>
      <c r="I289" s="66"/>
      <c r="J289" s="66">
        <v>3246</v>
      </c>
      <c r="K289" s="66">
        <f>83-83</f>
        <v>0</v>
      </c>
      <c r="L289" s="66"/>
      <c r="M289" s="66"/>
      <c r="N289" s="66"/>
      <c r="O289" s="70"/>
      <c r="P289" s="53"/>
      <c r="Q289" s="126">
        <f t="shared" si="45"/>
        <v>236066</v>
      </c>
    </row>
    <row r="290" spans="1:17" ht="47.25" customHeight="1">
      <c r="A290" s="256" t="s">
        <v>342</v>
      </c>
      <c r="B290" s="205" t="s">
        <v>341</v>
      </c>
      <c r="C290" s="18">
        <v>2049</v>
      </c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53"/>
      <c r="P290" s="53"/>
      <c r="Q290" s="126">
        <f t="shared" si="45"/>
        <v>2049</v>
      </c>
    </row>
    <row r="291" spans="1:17" ht="47.25" customHeight="1">
      <c r="A291" s="256" t="s">
        <v>344</v>
      </c>
      <c r="B291" s="205" t="s">
        <v>343</v>
      </c>
      <c r="C291" s="18">
        <v>6486</v>
      </c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53"/>
      <c r="P291" s="53"/>
      <c r="Q291" s="126">
        <f t="shared" si="45"/>
        <v>6486</v>
      </c>
    </row>
    <row r="292" spans="1:17" ht="45">
      <c r="A292" s="256" t="s">
        <v>348</v>
      </c>
      <c r="B292" s="205" t="s">
        <v>347</v>
      </c>
      <c r="C292" s="18">
        <v>7165</v>
      </c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79"/>
      <c r="P292" s="53"/>
      <c r="Q292" s="126">
        <f t="shared" si="45"/>
        <v>7165</v>
      </c>
    </row>
    <row r="293" spans="1:17" ht="47.25" customHeight="1">
      <c r="A293" s="256" t="s">
        <v>346</v>
      </c>
      <c r="B293" s="205" t="s">
        <v>345</v>
      </c>
      <c r="C293" s="18">
        <v>7633</v>
      </c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53"/>
      <c r="P293" s="53"/>
      <c r="Q293" s="126">
        <f t="shared" si="45"/>
        <v>7633</v>
      </c>
    </row>
    <row r="294" spans="1:17" ht="30">
      <c r="A294" s="256" t="s">
        <v>350</v>
      </c>
      <c r="B294" s="205" t="s">
        <v>349</v>
      </c>
      <c r="C294" s="18">
        <v>8516</v>
      </c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79"/>
      <c r="P294" s="53"/>
      <c r="Q294" s="126">
        <f t="shared" si="45"/>
        <v>8516</v>
      </c>
    </row>
    <row r="295" spans="1:17" ht="30" customHeight="1">
      <c r="A295" s="12" t="s">
        <v>358</v>
      </c>
      <c r="B295" s="28" t="s">
        <v>589</v>
      </c>
      <c r="C295" s="53">
        <v>11610</v>
      </c>
      <c r="D295" s="53"/>
      <c r="E295" s="53"/>
      <c r="F295" s="53"/>
      <c r="G295" s="53"/>
      <c r="H295" s="18"/>
      <c r="I295" s="53"/>
      <c r="J295" s="53"/>
      <c r="K295" s="53"/>
      <c r="L295" s="53"/>
      <c r="M295" s="53"/>
      <c r="N295" s="53"/>
      <c r="O295" s="53"/>
      <c r="P295" s="53"/>
      <c r="Q295" s="126">
        <f t="shared" si="45"/>
        <v>11610</v>
      </c>
    </row>
    <row r="296" spans="1:17" ht="45">
      <c r="A296" s="12" t="s">
        <v>359</v>
      </c>
      <c r="B296" s="28" t="s">
        <v>360</v>
      </c>
      <c r="C296" s="53">
        <v>12439</v>
      </c>
      <c r="D296" s="53"/>
      <c r="E296" s="53"/>
      <c r="F296" s="53"/>
      <c r="G296" s="53"/>
      <c r="H296" s="18"/>
      <c r="I296" s="53"/>
      <c r="J296" s="53"/>
      <c r="K296" s="53"/>
      <c r="L296" s="53"/>
      <c r="M296" s="53"/>
      <c r="N296" s="53"/>
      <c r="O296" s="53"/>
      <c r="P296" s="53"/>
      <c r="Q296" s="126">
        <f t="shared" si="45"/>
        <v>12439</v>
      </c>
    </row>
    <row r="297" spans="1:17" ht="34.5" customHeight="1">
      <c r="A297" s="227" t="s">
        <v>395</v>
      </c>
      <c r="B297" s="205" t="s">
        <v>396</v>
      </c>
      <c r="C297" s="53">
        <v>13195</v>
      </c>
      <c r="D297" s="53"/>
      <c r="E297" s="53"/>
      <c r="F297" s="53"/>
      <c r="G297" s="53"/>
      <c r="H297" s="18"/>
      <c r="I297" s="53"/>
      <c r="J297" s="53"/>
      <c r="K297" s="53">
        <v>306</v>
      </c>
      <c r="L297" s="53"/>
      <c r="M297" s="53"/>
      <c r="N297" s="53"/>
      <c r="O297" s="53"/>
      <c r="P297" s="53"/>
      <c r="Q297" s="126">
        <f t="shared" si="45"/>
        <v>13501</v>
      </c>
    </row>
    <row r="298" spans="1:17" ht="30">
      <c r="A298" s="227" t="s">
        <v>400</v>
      </c>
      <c r="B298" s="205" t="s">
        <v>590</v>
      </c>
      <c r="C298" s="18">
        <v>10876</v>
      </c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53"/>
      <c r="Q298" s="126">
        <f t="shared" si="45"/>
        <v>10876</v>
      </c>
    </row>
    <row r="299" spans="1:17" ht="30">
      <c r="A299" s="227" t="s">
        <v>600</v>
      </c>
      <c r="B299" s="28" t="s">
        <v>599</v>
      </c>
      <c r="C299" s="18">
        <f>1480802+16238+970</f>
        <v>1498010</v>
      </c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53"/>
      <c r="Q299" s="51">
        <f t="shared" si="45"/>
        <v>1498010</v>
      </c>
    </row>
    <row r="300" spans="1:17" ht="30">
      <c r="A300" s="227" t="s">
        <v>618</v>
      </c>
      <c r="B300" s="28" t="s">
        <v>619</v>
      </c>
      <c r="C300" s="18">
        <f>35534+17224</f>
        <v>52758</v>
      </c>
      <c r="D300" s="18"/>
      <c r="E300" s="18"/>
      <c r="F300" s="18"/>
      <c r="G300" s="18"/>
      <c r="H300" s="18"/>
      <c r="I300" s="18"/>
      <c r="J300" s="18"/>
      <c r="K300" s="18">
        <v>30404</v>
      </c>
      <c r="L300" s="18"/>
      <c r="M300" s="18"/>
      <c r="N300" s="18"/>
      <c r="O300" s="18"/>
      <c r="P300" s="53"/>
      <c r="Q300" s="51">
        <f t="shared" si="45"/>
        <v>83162</v>
      </c>
    </row>
    <row r="301" spans="1:17" ht="30">
      <c r="A301" s="227" t="s">
        <v>603</v>
      </c>
      <c r="B301" s="28" t="s">
        <v>611</v>
      </c>
      <c r="C301" s="18">
        <v>10000</v>
      </c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53"/>
      <c r="Q301" s="51">
        <f t="shared" si="45"/>
        <v>10000</v>
      </c>
    </row>
    <row r="302" spans="1:17" ht="15">
      <c r="A302" s="227" t="s">
        <v>604</v>
      </c>
      <c r="B302" s="28" t="s">
        <v>612</v>
      </c>
      <c r="C302" s="18">
        <v>14000</v>
      </c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53"/>
      <c r="Q302" s="51">
        <f t="shared" si="45"/>
        <v>14000</v>
      </c>
    </row>
    <row r="303" spans="1:17" ht="45">
      <c r="A303" s="227" t="s">
        <v>613</v>
      </c>
      <c r="B303" s="28" t="s">
        <v>614</v>
      </c>
      <c r="C303" s="18">
        <v>135378</v>
      </c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53"/>
      <c r="Q303" s="51">
        <f t="shared" si="45"/>
        <v>135378</v>
      </c>
    </row>
    <row r="304" spans="1:17" ht="45">
      <c r="A304" s="274" t="s">
        <v>660</v>
      </c>
      <c r="B304" s="28" t="s">
        <v>661</v>
      </c>
      <c r="C304" s="18">
        <v>13398</v>
      </c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53"/>
      <c r="Q304" s="51">
        <f t="shared" si="45"/>
        <v>13398</v>
      </c>
    </row>
    <row r="305" spans="1:17" ht="45">
      <c r="A305" s="274" t="s">
        <v>662</v>
      </c>
      <c r="B305" s="28" t="s">
        <v>663</v>
      </c>
      <c r="C305" s="18"/>
      <c r="D305" s="18"/>
      <c r="E305" s="18"/>
      <c r="F305" s="18"/>
      <c r="G305" s="18"/>
      <c r="H305" s="18"/>
      <c r="I305" s="18"/>
      <c r="J305" s="18"/>
      <c r="K305" s="18">
        <v>3246</v>
      </c>
      <c r="L305" s="18"/>
      <c r="M305" s="18"/>
      <c r="N305" s="18"/>
      <c r="O305" s="18"/>
      <c r="P305" s="53"/>
      <c r="Q305" s="51">
        <f t="shared" si="45"/>
        <v>3246</v>
      </c>
    </row>
    <row r="306" spans="1:17" ht="15">
      <c r="A306" s="227" t="s">
        <v>621</v>
      </c>
      <c r="B306" s="28" t="s">
        <v>622</v>
      </c>
      <c r="C306" s="53">
        <v>6855</v>
      </c>
      <c r="D306" s="53"/>
      <c r="E306" s="53"/>
      <c r="F306" s="53"/>
      <c r="G306" s="53"/>
      <c r="H306" s="53"/>
      <c r="I306" s="53"/>
      <c r="J306" s="53"/>
      <c r="K306" s="53"/>
      <c r="L306" s="53"/>
      <c r="M306" s="53"/>
      <c r="N306" s="53"/>
      <c r="O306" s="53"/>
      <c r="P306" s="53"/>
      <c r="Q306" s="51">
        <f t="shared" si="45"/>
        <v>6855</v>
      </c>
    </row>
    <row r="307" spans="1:17" ht="30">
      <c r="A307" s="227" t="s">
        <v>673</v>
      </c>
      <c r="B307" s="28" t="s">
        <v>674</v>
      </c>
      <c r="C307" s="53">
        <v>232727</v>
      </c>
      <c r="D307" s="53"/>
      <c r="E307" s="53"/>
      <c r="F307" s="53"/>
      <c r="G307" s="53"/>
      <c r="H307" s="53"/>
      <c r="I307" s="53"/>
      <c r="J307" s="53"/>
      <c r="K307" s="53"/>
      <c r="L307" s="53"/>
      <c r="M307" s="53"/>
      <c r="N307" s="53"/>
      <c r="O307" s="18"/>
      <c r="P307" s="92"/>
      <c r="Q307" s="51">
        <f t="shared" si="45"/>
        <v>232727</v>
      </c>
    </row>
    <row r="308" spans="1:17" ht="45">
      <c r="A308" s="277" t="s">
        <v>669</v>
      </c>
      <c r="B308" s="29" t="s">
        <v>670</v>
      </c>
      <c r="C308" s="79">
        <v>7425</v>
      </c>
      <c r="D308" s="79"/>
      <c r="E308" s="79"/>
      <c r="F308" s="79"/>
      <c r="G308" s="79"/>
      <c r="H308" s="79"/>
      <c r="I308" s="18"/>
      <c r="J308" s="18"/>
      <c r="K308" s="18"/>
      <c r="L308" s="18"/>
      <c r="M308" s="18"/>
      <c r="N308" s="18"/>
      <c r="O308" s="18"/>
      <c r="P308" s="70"/>
      <c r="Q308" s="51">
        <f t="shared" si="45"/>
        <v>7425</v>
      </c>
    </row>
    <row r="309" spans="1:17" ht="45">
      <c r="A309" s="274" t="s">
        <v>677</v>
      </c>
      <c r="B309" s="28" t="s">
        <v>685</v>
      </c>
      <c r="C309" s="18">
        <f>67719-24000</f>
        <v>43719</v>
      </c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70"/>
      <c r="Q309" s="51">
        <f t="shared" si="45"/>
        <v>43719</v>
      </c>
    </row>
    <row r="310" spans="1:17" ht="45">
      <c r="A310" s="274" t="s">
        <v>679</v>
      </c>
      <c r="B310" s="28" t="s">
        <v>678</v>
      </c>
      <c r="C310" s="18">
        <v>16720</v>
      </c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70"/>
      <c r="Q310" s="51">
        <f t="shared" si="45"/>
        <v>16720</v>
      </c>
    </row>
    <row r="311" spans="1:17" ht="45">
      <c r="A311" s="274" t="s">
        <v>680</v>
      </c>
      <c r="B311" s="28" t="s">
        <v>681</v>
      </c>
      <c r="C311" s="18">
        <v>22768</v>
      </c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70"/>
      <c r="Q311" s="51">
        <f t="shared" si="45"/>
        <v>22768</v>
      </c>
    </row>
    <row r="312" spans="1:17" ht="60">
      <c r="A312" s="278" t="s">
        <v>682</v>
      </c>
      <c r="B312" s="210" t="s">
        <v>683</v>
      </c>
      <c r="C312" s="66">
        <v>25408</v>
      </c>
      <c r="D312" s="66"/>
      <c r="E312" s="66"/>
      <c r="F312" s="66"/>
      <c r="G312" s="66"/>
      <c r="H312" s="66"/>
      <c r="I312" s="53"/>
      <c r="J312" s="53"/>
      <c r="K312" s="53"/>
      <c r="L312" s="53"/>
      <c r="M312" s="53"/>
      <c r="N312" s="53"/>
      <c r="O312" s="18"/>
      <c r="P312" s="70"/>
      <c r="Q312" s="51">
        <f t="shared" si="45"/>
        <v>25408</v>
      </c>
    </row>
    <row r="313" spans="1:17" ht="30">
      <c r="A313" s="278" t="s">
        <v>688</v>
      </c>
      <c r="B313" s="210" t="s">
        <v>687</v>
      </c>
      <c r="C313" s="66">
        <v>50962</v>
      </c>
      <c r="D313" s="66"/>
      <c r="E313" s="66"/>
      <c r="F313" s="66"/>
      <c r="G313" s="66"/>
      <c r="H313" s="66"/>
      <c r="I313" s="79"/>
      <c r="J313" s="79"/>
      <c r="K313" s="79"/>
      <c r="L313" s="79"/>
      <c r="M313" s="79"/>
      <c r="N313" s="79"/>
      <c r="O313" s="79"/>
      <c r="P313" s="70"/>
      <c r="Q313" s="51">
        <f t="shared" si="45"/>
        <v>50962</v>
      </c>
    </row>
    <row r="314" spans="1:17" ht="45">
      <c r="A314" s="278" t="s">
        <v>689</v>
      </c>
      <c r="B314" s="28" t="s">
        <v>690</v>
      </c>
      <c r="C314" s="18">
        <v>35876</v>
      </c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53"/>
      <c r="Q314" s="51">
        <f t="shared" si="45"/>
        <v>35876</v>
      </c>
    </row>
    <row r="315" spans="1:17" ht="45">
      <c r="A315" s="278" t="s">
        <v>779</v>
      </c>
      <c r="B315" s="28" t="s">
        <v>783</v>
      </c>
      <c r="C315" s="18">
        <v>54576</v>
      </c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53"/>
      <c r="Q315" s="51">
        <f t="shared" si="45"/>
        <v>54576</v>
      </c>
    </row>
    <row r="316" spans="1:17" ht="30.75" thickBot="1">
      <c r="A316" s="278" t="s">
        <v>691</v>
      </c>
      <c r="B316" s="29" t="s">
        <v>692</v>
      </c>
      <c r="C316" s="79">
        <v>5962</v>
      </c>
      <c r="D316" s="79"/>
      <c r="E316" s="79"/>
      <c r="F316" s="79"/>
      <c r="G316" s="79"/>
      <c r="H316" s="79"/>
      <c r="I316" s="79"/>
      <c r="J316" s="79"/>
      <c r="K316" s="79"/>
      <c r="L316" s="79"/>
      <c r="M316" s="79"/>
      <c r="N316" s="79"/>
      <c r="O316" s="79"/>
      <c r="P316" s="70"/>
      <c r="Q316" s="71">
        <f t="shared" si="45"/>
        <v>5962</v>
      </c>
    </row>
    <row r="317" spans="1:17" ht="15.75" thickBot="1">
      <c r="A317" s="80" t="s">
        <v>7</v>
      </c>
      <c r="B317" s="44" t="s">
        <v>102</v>
      </c>
      <c r="C317" s="46">
        <f>SUM(C318+C319+C320+C321+C322+C336)</f>
        <v>10307971</v>
      </c>
      <c r="D317" s="46">
        <f aca="true" t="shared" si="46" ref="D317:P317">SUM(D318+D319+D320+D321+D322+D336)</f>
        <v>23367</v>
      </c>
      <c r="E317" s="46">
        <f t="shared" si="46"/>
        <v>0</v>
      </c>
      <c r="F317" s="46">
        <f t="shared" si="46"/>
        <v>0</v>
      </c>
      <c r="G317" s="46">
        <f t="shared" si="46"/>
        <v>832128</v>
      </c>
      <c r="H317" s="46">
        <f t="shared" si="46"/>
        <v>39020</v>
      </c>
      <c r="I317" s="46">
        <f t="shared" si="46"/>
        <v>0</v>
      </c>
      <c r="J317" s="46">
        <f t="shared" si="46"/>
        <v>834</v>
      </c>
      <c r="K317" s="46">
        <f t="shared" si="46"/>
        <v>6204</v>
      </c>
      <c r="L317" s="46">
        <f t="shared" si="46"/>
        <v>0</v>
      </c>
      <c r="M317" s="46">
        <f t="shared" si="46"/>
        <v>45</v>
      </c>
      <c r="N317" s="46">
        <f t="shared" si="46"/>
        <v>2735</v>
      </c>
      <c r="O317" s="46">
        <f t="shared" si="46"/>
        <v>79</v>
      </c>
      <c r="P317" s="46">
        <f t="shared" si="46"/>
        <v>0</v>
      </c>
      <c r="Q317" s="47">
        <f t="shared" si="45"/>
        <v>11212383</v>
      </c>
    </row>
    <row r="318" spans="1:17" ht="16.5" customHeight="1">
      <c r="A318" s="118" t="s">
        <v>335</v>
      </c>
      <c r="B318" s="119" t="s">
        <v>158</v>
      </c>
      <c r="C318" s="120">
        <f>447464-13</f>
        <v>447451</v>
      </c>
      <c r="D318" s="86"/>
      <c r="E318" s="120"/>
      <c r="F318" s="120"/>
      <c r="G318" s="120"/>
      <c r="H318" s="86">
        <v>24</v>
      </c>
      <c r="I318" s="86"/>
      <c r="J318" s="86"/>
      <c r="K318" s="86">
        <v>1043</v>
      </c>
      <c r="L318" s="86"/>
      <c r="M318" s="86"/>
      <c r="N318" s="86"/>
      <c r="O318" s="120"/>
      <c r="P318" s="91"/>
      <c r="Q318" s="126">
        <f>SUM(C318:P318)</f>
        <v>448518</v>
      </c>
    </row>
    <row r="319" spans="1:17" ht="16.5" customHeight="1">
      <c r="A319" s="118"/>
      <c r="B319" s="119" t="s">
        <v>390</v>
      </c>
      <c r="C319" s="120"/>
      <c r="D319" s="120"/>
      <c r="E319" s="120"/>
      <c r="F319" s="120"/>
      <c r="G319" s="120"/>
      <c r="H319" s="86"/>
      <c r="I319" s="86"/>
      <c r="J319" s="86"/>
      <c r="K319" s="86"/>
      <c r="L319" s="169"/>
      <c r="M319" s="169"/>
      <c r="N319" s="120"/>
      <c r="O319" s="120"/>
      <c r="P319" s="91"/>
      <c r="Q319" s="126">
        <f t="shared" si="45"/>
        <v>0</v>
      </c>
    </row>
    <row r="320" spans="1:17" ht="15">
      <c r="A320" s="118" t="s">
        <v>336</v>
      </c>
      <c r="B320" s="119" t="s">
        <v>136</v>
      </c>
      <c r="C320" s="120">
        <f>38225+5863</f>
        <v>44088</v>
      </c>
      <c r="D320" s="120"/>
      <c r="E320" s="120"/>
      <c r="F320" s="120"/>
      <c r="G320" s="120"/>
      <c r="H320" s="86"/>
      <c r="I320" s="86"/>
      <c r="J320" s="86"/>
      <c r="K320" s="86">
        <v>91</v>
      </c>
      <c r="L320" s="169"/>
      <c r="M320" s="169">
        <v>45</v>
      </c>
      <c r="N320" s="120"/>
      <c r="O320" s="120">
        <v>45</v>
      </c>
      <c r="P320" s="91"/>
      <c r="Q320" s="126">
        <f t="shared" si="45"/>
        <v>44269</v>
      </c>
    </row>
    <row r="321" spans="1:17" ht="15">
      <c r="A321" s="118" t="s">
        <v>103</v>
      </c>
      <c r="B321" s="119" t="s">
        <v>104</v>
      </c>
      <c r="C321" s="120"/>
      <c r="D321" s="50"/>
      <c r="E321" s="26"/>
      <c r="F321" s="26"/>
      <c r="G321" s="26"/>
      <c r="H321" s="50"/>
      <c r="I321" s="50"/>
      <c r="J321" s="50"/>
      <c r="K321" s="50"/>
      <c r="L321" s="50"/>
      <c r="M321" s="50"/>
      <c r="N321" s="50"/>
      <c r="O321" s="26"/>
      <c r="P321" s="53"/>
      <c r="Q321" s="126">
        <f t="shared" si="45"/>
        <v>0</v>
      </c>
    </row>
    <row r="322" spans="1:17" ht="29.25">
      <c r="A322" s="125" t="s">
        <v>105</v>
      </c>
      <c r="B322" s="88" t="s">
        <v>106</v>
      </c>
      <c r="C322" s="34">
        <f aca="true" t="shared" si="47" ref="C322:P322">SUM(C323:C335)</f>
        <v>9283855</v>
      </c>
      <c r="D322" s="34">
        <f t="shared" si="47"/>
        <v>23367</v>
      </c>
      <c r="E322" s="34">
        <f t="shared" si="47"/>
        <v>0</v>
      </c>
      <c r="F322" s="34">
        <f t="shared" si="47"/>
        <v>0</v>
      </c>
      <c r="G322" s="34">
        <f t="shared" si="47"/>
        <v>832128</v>
      </c>
      <c r="H322" s="34">
        <f t="shared" si="47"/>
        <v>381</v>
      </c>
      <c r="I322" s="34">
        <f t="shared" si="47"/>
        <v>0</v>
      </c>
      <c r="J322" s="34">
        <f t="shared" si="47"/>
        <v>834</v>
      </c>
      <c r="K322" s="34">
        <f t="shared" si="47"/>
        <v>4430</v>
      </c>
      <c r="L322" s="34">
        <f t="shared" si="47"/>
        <v>0</v>
      </c>
      <c r="M322" s="34">
        <f t="shared" si="47"/>
        <v>0</v>
      </c>
      <c r="N322" s="34">
        <f t="shared" si="47"/>
        <v>2735</v>
      </c>
      <c r="O322" s="34">
        <f t="shared" si="47"/>
        <v>34</v>
      </c>
      <c r="P322" s="34">
        <f t="shared" si="47"/>
        <v>0</v>
      </c>
      <c r="Q322" s="126">
        <f>SUM(C322:P322)</f>
        <v>10147764</v>
      </c>
    </row>
    <row r="323" spans="1:17" ht="15">
      <c r="A323" s="52" t="s">
        <v>227</v>
      </c>
      <c r="B323" s="25" t="s">
        <v>107</v>
      </c>
      <c r="C323" s="53">
        <f>2366088+8000+200+2810</f>
        <v>2377098</v>
      </c>
      <c r="D323" s="18">
        <v>23367</v>
      </c>
      <c r="E323" s="53"/>
      <c r="F323" s="53"/>
      <c r="G323" s="53"/>
      <c r="H323" s="200">
        <v>381</v>
      </c>
      <c r="I323" s="18"/>
      <c r="J323" s="18"/>
      <c r="K323" s="18">
        <v>1271</v>
      </c>
      <c r="L323" s="18"/>
      <c r="M323" s="18"/>
      <c r="N323" s="200">
        <v>2735</v>
      </c>
      <c r="O323" s="57">
        <v>34</v>
      </c>
      <c r="P323" s="53"/>
      <c r="Q323" s="126">
        <f t="shared" si="45"/>
        <v>2404886</v>
      </c>
    </row>
    <row r="324" spans="1:17" ht="15">
      <c r="A324" s="52" t="s">
        <v>228</v>
      </c>
      <c r="B324" s="25" t="s">
        <v>17</v>
      </c>
      <c r="C324" s="53">
        <f>2956435+269101</f>
        <v>3225536</v>
      </c>
      <c r="D324" s="18"/>
      <c r="E324" s="53"/>
      <c r="F324" s="53"/>
      <c r="G324" s="53"/>
      <c r="H324" s="200"/>
      <c r="I324" s="18"/>
      <c r="J324" s="18"/>
      <c r="K324" s="18"/>
      <c r="L324" s="209"/>
      <c r="M324" s="18"/>
      <c r="N324" s="200"/>
      <c r="O324" s="57"/>
      <c r="P324" s="53"/>
      <c r="Q324" s="126">
        <f t="shared" si="45"/>
        <v>3225536</v>
      </c>
    </row>
    <row r="325" spans="1:17" ht="15">
      <c r="A325" s="52" t="s">
        <v>267</v>
      </c>
      <c r="B325" s="25" t="s">
        <v>268</v>
      </c>
      <c r="C325" s="53">
        <f>925000+186061+17878+21804</f>
        <v>1150743</v>
      </c>
      <c r="D325" s="18"/>
      <c r="E325" s="53"/>
      <c r="F325" s="53"/>
      <c r="G325" s="53"/>
      <c r="H325" s="18"/>
      <c r="I325" s="18"/>
      <c r="J325" s="18"/>
      <c r="K325" s="18"/>
      <c r="L325" s="18"/>
      <c r="M325" s="18"/>
      <c r="N325" s="18"/>
      <c r="O325" s="53"/>
      <c r="P325" s="53"/>
      <c r="Q325" s="126">
        <f t="shared" si="45"/>
        <v>1150743</v>
      </c>
    </row>
    <row r="326" spans="1:17" ht="15">
      <c r="A326" s="52" t="s">
        <v>229</v>
      </c>
      <c r="B326" s="25" t="s">
        <v>138</v>
      </c>
      <c r="C326" s="53"/>
      <c r="D326" s="18"/>
      <c r="E326" s="53"/>
      <c r="F326" s="53"/>
      <c r="G326" s="53">
        <v>832128</v>
      </c>
      <c r="H326" s="18"/>
      <c r="I326" s="18"/>
      <c r="J326" s="18"/>
      <c r="K326" s="18"/>
      <c r="L326" s="18"/>
      <c r="M326" s="18"/>
      <c r="N326" s="18"/>
      <c r="O326" s="53"/>
      <c r="P326" s="53"/>
      <c r="Q326" s="126">
        <f t="shared" si="45"/>
        <v>832128</v>
      </c>
    </row>
    <row r="327" spans="1:17" ht="30">
      <c r="A327" s="52" t="s">
        <v>280</v>
      </c>
      <c r="B327" s="8" t="s">
        <v>281</v>
      </c>
      <c r="C327" s="18">
        <f>121800+12000</f>
        <v>133800</v>
      </c>
      <c r="D327" s="18"/>
      <c r="E327" s="53"/>
      <c r="F327" s="53"/>
      <c r="G327" s="53"/>
      <c r="H327" s="18"/>
      <c r="I327" s="18"/>
      <c r="J327" s="18"/>
      <c r="K327" s="18"/>
      <c r="L327" s="18"/>
      <c r="M327" s="18"/>
      <c r="N327" s="18"/>
      <c r="O327" s="53"/>
      <c r="P327" s="53"/>
      <c r="Q327" s="126">
        <f t="shared" si="45"/>
        <v>133800</v>
      </c>
    </row>
    <row r="328" spans="1:17" ht="31.5">
      <c r="A328" s="12" t="s">
        <v>323</v>
      </c>
      <c r="B328" s="15" t="s">
        <v>324</v>
      </c>
      <c r="C328" s="53">
        <v>30000</v>
      </c>
      <c r="D328" s="18"/>
      <c r="E328" s="53"/>
      <c r="F328" s="53"/>
      <c r="G328" s="53"/>
      <c r="H328" s="18"/>
      <c r="I328" s="18"/>
      <c r="J328" s="18"/>
      <c r="K328" s="53"/>
      <c r="L328" s="53"/>
      <c r="M328" s="53"/>
      <c r="N328" s="53"/>
      <c r="O328" s="53"/>
      <c r="P328" s="53"/>
      <c r="Q328" s="126">
        <f t="shared" si="45"/>
        <v>30000</v>
      </c>
    </row>
    <row r="329" spans="1:17" ht="15">
      <c r="A329" s="52" t="s">
        <v>230</v>
      </c>
      <c r="B329" s="25" t="s">
        <v>137</v>
      </c>
      <c r="C329" s="53">
        <f>86080+4808+810</f>
        <v>91698</v>
      </c>
      <c r="D329" s="18"/>
      <c r="E329" s="53"/>
      <c r="F329" s="53"/>
      <c r="G329" s="53"/>
      <c r="H329" s="18"/>
      <c r="I329" s="18"/>
      <c r="J329" s="18">
        <v>834</v>
      </c>
      <c r="K329" s="53">
        <v>3159</v>
      </c>
      <c r="L329" s="53"/>
      <c r="M329" s="53"/>
      <c r="N329" s="53"/>
      <c r="O329" s="53"/>
      <c r="P329" s="53"/>
      <c r="Q329" s="126">
        <f t="shared" si="45"/>
        <v>95691</v>
      </c>
    </row>
    <row r="330" spans="1:17" ht="30" customHeight="1">
      <c r="A330" s="52" t="s">
        <v>260</v>
      </c>
      <c r="B330" s="144" t="s">
        <v>325</v>
      </c>
      <c r="C330" s="53">
        <f>346607+141700+20000</f>
        <v>508307</v>
      </c>
      <c r="D330" s="18"/>
      <c r="E330" s="53"/>
      <c r="F330" s="53"/>
      <c r="G330" s="53"/>
      <c r="H330" s="18"/>
      <c r="I330" s="18"/>
      <c r="J330" s="18"/>
      <c r="K330" s="53"/>
      <c r="L330" s="53"/>
      <c r="M330" s="53"/>
      <c r="N330" s="53"/>
      <c r="O330" s="53"/>
      <c r="P330" s="53"/>
      <c r="Q330" s="126">
        <f t="shared" si="45"/>
        <v>508307</v>
      </c>
    </row>
    <row r="331" spans="1:17" ht="30">
      <c r="A331" s="13" t="s">
        <v>303</v>
      </c>
      <c r="B331" s="199" t="s">
        <v>304</v>
      </c>
      <c r="C331" s="18">
        <f>1658252+20522+30329</f>
        <v>1709103</v>
      </c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53"/>
      <c r="P331" s="53"/>
      <c r="Q331" s="126">
        <f t="shared" si="45"/>
        <v>1709103</v>
      </c>
    </row>
    <row r="332" spans="1:17" ht="30">
      <c r="A332" s="13" t="s">
        <v>591</v>
      </c>
      <c r="B332" s="7" t="s">
        <v>592</v>
      </c>
      <c r="C332" s="53">
        <v>19937</v>
      </c>
      <c r="D332" s="53"/>
      <c r="E332" s="53"/>
      <c r="F332" s="53"/>
      <c r="G332" s="53"/>
      <c r="H332" s="53"/>
      <c r="I332" s="53"/>
      <c r="J332" s="53"/>
      <c r="K332" s="53"/>
      <c r="L332" s="53"/>
      <c r="M332" s="53"/>
      <c r="N332" s="53"/>
      <c r="O332" s="53"/>
      <c r="P332" s="53"/>
      <c r="Q332" s="126">
        <f>SUM(C332:P332)</f>
        <v>19937</v>
      </c>
    </row>
    <row r="333" spans="1:17" ht="30">
      <c r="A333" s="13" t="s">
        <v>664</v>
      </c>
      <c r="B333" s="7" t="s">
        <v>592</v>
      </c>
      <c r="C333" s="53">
        <f>47372-40247</f>
        <v>7125</v>
      </c>
      <c r="D333" s="53"/>
      <c r="E333" s="53"/>
      <c r="F333" s="53"/>
      <c r="G333" s="53"/>
      <c r="H333" s="53"/>
      <c r="I333" s="53"/>
      <c r="J333" s="53"/>
      <c r="K333" s="53"/>
      <c r="L333" s="53"/>
      <c r="M333" s="53"/>
      <c r="N333" s="53"/>
      <c r="O333" s="53"/>
      <c r="P333" s="53"/>
      <c r="Q333" s="126">
        <f>SUM(C333:P333)</f>
        <v>7125</v>
      </c>
    </row>
    <row r="334" spans="1:17" ht="45">
      <c r="A334" s="13" t="s">
        <v>668</v>
      </c>
      <c r="B334" s="7" t="s">
        <v>667</v>
      </c>
      <c r="C334" s="53">
        <f>22741-12000</f>
        <v>10741</v>
      </c>
      <c r="D334" s="53"/>
      <c r="E334" s="53"/>
      <c r="F334" s="53"/>
      <c r="G334" s="53"/>
      <c r="H334" s="53"/>
      <c r="I334" s="53"/>
      <c r="J334" s="53"/>
      <c r="K334" s="53"/>
      <c r="L334" s="53"/>
      <c r="M334" s="53"/>
      <c r="N334" s="53"/>
      <c r="O334" s="53"/>
      <c r="P334" s="53"/>
      <c r="Q334" s="126">
        <f t="shared" si="45"/>
        <v>10741</v>
      </c>
    </row>
    <row r="335" spans="1:17" ht="75">
      <c r="A335" s="13" t="s">
        <v>780</v>
      </c>
      <c r="B335" s="20" t="s">
        <v>782</v>
      </c>
      <c r="C335" s="53">
        <v>19767</v>
      </c>
      <c r="D335" s="53"/>
      <c r="E335" s="53"/>
      <c r="F335" s="53"/>
      <c r="G335" s="53"/>
      <c r="H335" s="53"/>
      <c r="I335" s="53"/>
      <c r="J335" s="53"/>
      <c r="K335" s="53"/>
      <c r="L335" s="53"/>
      <c r="M335" s="53"/>
      <c r="N335" s="53"/>
      <c r="O335" s="53"/>
      <c r="P335" s="53"/>
      <c r="Q335" s="126">
        <f t="shared" si="45"/>
        <v>19767</v>
      </c>
    </row>
    <row r="336" spans="1:17" ht="19.5" customHeight="1">
      <c r="A336" s="229" t="s">
        <v>369</v>
      </c>
      <c r="B336" s="214" t="s">
        <v>370</v>
      </c>
      <c r="C336" s="91">
        <f>SUM(C337:C338)</f>
        <v>532577</v>
      </c>
      <c r="D336" s="53">
        <f aca="true" t="shared" si="48" ref="D336:P336">SUM(D337:D338)</f>
        <v>0</v>
      </c>
      <c r="E336" s="53">
        <f t="shared" si="48"/>
        <v>0</v>
      </c>
      <c r="F336" s="53">
        <f t="shared" si="48"/>
        <v>0</v>
      </c>
      <c r="G336" s="53">
        <f t="shared" si="48"/>
        <v>0</v>
      </c>
      <c r="H336" s="53">
        <f t="shared" si="48"/>
        <v>38615</v>
      </c>
      <c r="I336" s="53">
        <f t="shared" si="48"/>
        <v>0</v>
      </c>
      <c r="J336" s="53">
        <f t="shared" si="48"/>
        <v>0</v>
      </c>
      <c r="K336" s="53">
        <f t="shared" si="48"/>
        <v>640</v>
      </c>
      <c r="L336" s="53">
        <f t="shared" si="48"/>
        <v>0</v>
      </c>
      <c r="M336" s="53">
        <f t="shared" si="48"/>
        <v>0</v>
      </c>
      <c r="N336" s="53">
        <f t="shared" si="48"/>
        <v>0</v>
      </c>
      <c r="O336" s="53">
        <f>SUM(O337:O338)</f>
        <v>0</v>
      </c>
      <c r="P336" s="53">
        <f t="shared" si="48"/>
        <v>0</v>
      </c>
      <c r="Q336" s="126">
        <f t="shared" si="45"/>
        <v>571832</v>
      </c>
    </row>
    <row r="337" spans="1:17" ht="34.5" customHeight="1">
      <c r="A337" s="227" t="s">
        <v>593</v>
      </c>
      <c r="B337" s="144" t="s">
        <v>594</v>
      </c>
      <c r="C337" s="129">
        <f>365000+30000+17577</f>
        <v>412577</v>
      </c>
      <c r="D337" s="53"/>
      <c r="E337" s="53"/>
      <c r="F337" s="53"/>
      <c r="G337" s="53"/>
      <c r="H337" s="53">
        <v>38615</v>
      </c>
      <c r="I337" s="53"/>
      <c r="J337" s="53"/>
      <c r="K337" s="53">
        <v>640</v>
      </c>
      <c r="L337" s="53"/>
      <c r="M337" s="53"/>
      <c r="N337" s="53"/>
      <c r="O337" s="53"/>
      <c r="P337" s="92"/>
      <c r="Q337" s="126">
        <f t="shared" si="45"/>
        <v>451832</v>
      </c>
    </row>
    <row r="338" spans="1:17" ht="34.5" customHeight="1">
      <c r="A338" s="227" t="s">
        <v>615</v>
      </c>
      <c r="B338" s="144" t="s">
        <v>616</v>
      </c>
      <c r="C338" s="129">
        <v>120000</v>
      </c>
      <c r="D338" s="53"/>
      <c r="E338" s="53"/>
      <c r="F338" s="53"/>
      <c r="G338" s="53"/>
      <c r="H338" s="53"/>
      <c r="I338" s="53"/>
      <c r="J338" s="53"/>
      <c r="K338" s="53"/>
      <c r="L338" s="53"/>
      <c r="M338" s="53"/>
      <c r="N338" s="53"/>
      <c r="O338" s="53"/>
      <c r="P338" s="53"/>
      <c r="Q338" s="126">
        <f aca="true" t="shared" si="49" ref="Q338:Q343">SUM(C338:P338)</f>
        <v>120000</v>
      </c>
    </row>
    <row r="339" spans="1:17" ht="15.75" thickBot="1">
      <c r="A339" s="286"/>
      <c r="B339" s="161" t="s">
        <v>19</v>
      </c>
      <c r="C339" s="162">
        <f aca="true" t="shared" si="50" ref="C339:P339">C7+C17+C23+C67+C89+C140+C147+C214+C317</f>
        <v>111665755</v>
      </c>
      <c r="D339" s="162">
        <f t="shared" si="50"/>
        <v>3977470</v>
      </c>
      <c r="E339" s="162">
        <f t="shared" si="50"/>
        <v>2224521</v>
      </c>
      <c r="F339" s="287">
        <f t="shared" si="50"/>
        <v>595267</v>
      </c>
      <c r="G339" s="287">
        <f t="shared" si="50"/>
        <v>832128</v>
      </c>
      <c r="H339" s="287">
        <f t="shared" si="50"/>
        <v>1510908</v>
      </c>
      <c r="I339" s="287">
        <f t="shared" si="50"/>
        <v>382344</v>
      </c>
      <c r="J339" s="287">
        <f t="shared" si="50"/>
        <v>737738</v>
      </c>
      <c r="K339" s="162">
        <f t="shared" si="50"/>
        <v>1911984</v>
      </c>
      <c r="L339" s="162">
        <f t="shared" si="50"/>
        <v>196811</v>
      </c>
      <c r="M339" s="162">
        <f t="shared" si="50"/>
        <v>234825</v>
      </c>
      <c r="N339" s="162">
        <f t="shared" si="50"/>
        <v>264159</v>
      </c>
      <c r="O339" s="162">
        <f t="shared" si="50"/>
        <v>804803</v>
      </c>
      <c r="P339" s="287">
        <f t="shared" si="50"/>
        <v>613413</v>
      </c>
      <c r="Q339" s="136">
        <f t="shared" si="49"/>
        <v>125952126</v>
      </c>
    </row>
    <row r="340" spans="1:17" ht="15">
      <c r="A340" s="171" t="s">
        <v>391</v>
      </c>
      <c r="B340" s="77" t="s">
        <v>392</v>
      </c>
      <c r="C340" s="172">
        <f>5989068+34810+39008+43248</f>
        <v>6106134</v>
      </c>
      <c r="D340" s="172"/>
      <c r="E340" s="172"/>
      <c r="F340" s="173"/>
      <c r="G340" s="173"/>
      <c r="H340" s="173"/>
      <c r="I340" s="172"/>
      <c r="J340" s="172"/>
      <c r="K340" s="172"/>
      <c r="L340" s="172"/>
      <c r="M340" s="172"/>
      <c r="N340" s="172"/>
      <c r="O340" s="172"/>
      <c r="P340" s="172"/>
      <c r="Q340" s="173">
        <f t="shared" si="49"/>
        <v>6106134</v>
      </c>
    </row>
    <row r="341" spans="1:17" ht="29.25">
      <c r="A341" s="171" t="s">
        <v>376</v>
      </c>
      <c r="B341" s="174" t="s">
        <v>388</v>
      </c>
      <c r="C341" s="197">
        <f>683978-428544</f>
        <v>255434</v>
      </c>
      <c r="D341" s="172"/>
      <c r="E341" s="172"/>
      <c r="F341" s="173"/>
      <c r="G341" s="173"/>
      <c r="H341" s="172"/>
      <c r="I341" s="172"/>
      <c r="J341" s="172"/>
      <c r="K341" s="172"/>
      <c r="L341" s="172"/>
      <c r="M341" s="172"/>
      <c r="N341" s="172"/>
      <c r="O341" s="172"/>
      <c r="P341" s="172"/>
      <c r="Q341" s="173">
        <f t="shared" si="49"/>
        <v>255434</v>
      </c>
    </row>
    <row r="342" spans="1:17" ht="29.25">
      <c r="A342" s="171" t="s">
        <v>376</v>
      </c>
      <c r="B342" s="174" t="s">
        <v>387</v>
      </c>
      <c r="C342" s="31">
        <v>17500</v>
      </c>
      <c r="D342" s="31"/>
      <c r="E342" s="31"/>
      <c r="F342" s="175"/>
      <c r="G342" s="175"/>
      <c r="H342" s="31"/>
      <c r="I342" s="31"/>
      <c r="J342" s="31"/>
      <c r="K342" s="31"/>
      <c r="L342" s="31"/>
      <c r="M342" s="31"/>
      <c r="N342" s="31"/>
      <c r="O342" s="31"/>
      <c r="P342" s="31"/>
      <c r="Q342" s="173">
        <f t="shared" si="49"/>
        <v>17500</v>
      </c>
    </row>
    <row r="343" spans="1:17" ht="29.25">
      <c r="A343" s="171"/>
      <c r="B343" s="174" t="s">
        <v>605</v>
      </c>
      <c r="C343" s="31">
        <v>80000</v>
      </c>
      <c r="D343" s="31"/>
      <c r="E343" s="31"/>
      <c r="F343" s="175"/>
      <c r="G343" s="175"/>
      <c r="H343" s="31"/>
      <c r="I343" s="31"/>
      <c r="J343" s="31"/>
      <c r="K343" s="31"/>
      <c r="L343" s="31"/>
      <c r="M343" s="31"/>
      <c r="N343" s="31"/>
      <c r="O343" s="31"/>
      <c r="P343" s="31"/>
      <c r="Q343" s="173">
        <f t="shared" si="49"/>
        <v>80000</v>
      </c>
    </row>
    <row r="344" spans="1:17" ht="30">
      <c r="A344" s="176" t="s">
        <v>251</v>
      </c>
      <c r="B344" s="177" t="s">
        <v>261</v>
      </c>
      <c r="C344" s="31">
        <f>680000-45128+33517</f>
        <v>668389</v>
      </c>
      <c r="D344" s="31">
        <v>1280185</v>
      </c>
      <c r="E344" s="31"/>
      <c r="F344" s="175">
        <f>125558-23807</f>
        <v>101751</v>
      </c>
      <c r="G344" s="175"/>
      <c r="H344" s="31"/>
      <c r="I344" s="31"/>
      <c r="J344" s="31"/>
      <c r="K344" s="31"/>
      <c r="L344" s="31"/>
      <c r="M344" s="31"/>
      <c r="N344" s="31"/>
      <c r="O344" s="31"/>
      <c r="P344" s="31"/>
      <c r="Q344" s="173">
        <f>SUM(C344:P344)</f>
        <v>2050325</v>
      </c>
    </row>
    <row r="345" spans="1:17" ht="30">
      <c r="A345" s="30" t="s">
        <v>231</v>
      </c>
      <c r="B345" s="178" t="s">
        <v>232</v>
      </c>
      <c r="C345" s="173">
        <v>6764302</v>
      </c>
      <c r="D345" s="173">
        <v>-925286</v>
      </c>
      <c r="E345" s="173">
        <v>-1638472</v>
      </c>
      <c r="F345" s="173">
        <v>-90615</v>
      </c>
      <c r="G345" s="173">
        <v>-17848</v>
      </c>
      <c r="H345" s="173">
        <v>-994546</v>
      </c>
      <c r="I345" s="173">
        <v>-180134</v>
      </c>
      <c r="J345" s="173">
        <v>-300941</v>
      </c>
      <c r="K345" s="173">
        <v>-1210172</v>
      </c>
      <c r="L345" s="173">
        <v>0</v>
      </c>
      <c r="M345" s="173">
        <v>-127328</v>
      </c>
      <c r="N345" s="173">
        <v>-174920</v>
      </c>
      <c r="O345" s="173">
        <v>-614040</v>
      </c>
      <c r="P345" s="173">
        <v>-490000</v>
      </c>
      <c r="Q345" s="173">
        <v>0</v>
      </c>
    </row>
    <row r="346" spans="1:17" ht="15">
      <c r="A346" s="31"/>
      <c r="B346" s="179"/>
      <c r="C346" s="173"/>
      <c r="D346" s="173"/>
      <c r="E346" s="173"/>
      <c r="F346" s="173"/>
      <c r="G346" s="173"/>
      <c r="H346" s="173"/>
      <c r="I346" s="180"/>
      <c r="J346" s="173"/>
      <c r="K346" s="180"/>
      <c r="L346" s="173"/>
      <c r="M346" s="173"/>
      <c r="N346" s="173"/>
      <c r="O346" s="173"/>
      <c r="P346" s="173"/>
      <c r="Q346" s="173"/>
    </row>
    <row r="347" spans="1:17" ht="15">
      <c r="A347" s="31"/>
      <c r="B347" s="181" t="s">
        <v>249</v>
      </c>
      <c r="C347" s="31"/>
      <c r="D347" s="31" t="s">
        <v>20</v>
      </c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182"/>
    </row>
    <row r="348" spans="1:17" ht="15">
      <c r="A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182"/>
    </row>
    <row r="349" spans="1:17" ht="15">
      <c r="A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182"/>
    </row>
    <row r="350" spans="1:17" ht="57" customHeight="1" thickBot="1">
      <c r="A350" s="288" t="s">
        <v>665</v>
      </c>
      <c r="B350" s="288"/>
      <c r="C350" s="288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172"/>
    </row>
    <row r="351" spans="1:17" ht="135.75" thickBot="1">
      <c r="A351" s="111" t="s">
        <v>9</v>
      </c>
      <c r="B351" s="112" t="s">
        <v>113</v>
      </c>
      <c r="C351" s="41" t="s">
        <v>627</v>
      </c>
      <c r="D351" s="113" t="s">
        <v>628</v>
      </c>
      <c r="E351" s="40" t="s">
        <v>666</v>
      </c>
      <c r="F351" s="40" t="s">
        <v>630</v>
      </c>
      <c r="G351" s="282" t="s">
        <v>786</v>
      </c>
      <c r="H351" s="24" t="s">
        <v>631</v>
      </c>
      <c r="I351" s="24" t="s">
        <v>632</v>
      </c>
      <c r="J351" s="24" t="s">
        <v>633</v>
      </c>
      <c r="K351" s="24" t="s">
        <v>634</v>
      </c>
      <c r="L351" s="24" t="s">
        <v>635</v>
      </c>
      <c r="M351" s="24" t="s">
        <v>636</v>
      </c>
      <c r="N351" s="24" t="s">
        <v>637</v>
      </c>
      <c r="O351" s="24" t="s">
        <v>638</v>
      </c>
      <c r="P351" s="257" t="s">
        <v>389</v>
      </c>
      <c r="Q351" s="116" t="s">
        <v>639</v>
      </c>
    </row>
    <row r="352" spans="1:17" ht="15">
      <c r="A352" s="193">
        <v>1100</v>
      </c>
      <c r="B352" s="82" t="s">
        <v>156</v>
      </c>
      <c r="C352" s="27">
        <f>40112420+30838</f>
        <v>40143258</v>
      </c>
      <c r="D352" s="27">
        <v>1111417</v>
      </c>
      <c r="E352" s="27">
        <v>987852</v>
      </c>
      <c r="F352" s="262">
        <v>82454</v>
      </c>
      <c r="G352" s="262">
        <v>444616</v>
      </c>
      <c r="H352" s="259">
        <v>817451</v>
      </c>
      <c r="I352" s="27">
        <v>102271</v>
      </c>
      <c r="J352" s="27">
        <v>370929</v>
      </c>
      <c r="K352" s="27">
        <v>918444</v>
      </c>
      <c r="L352" s="27">
        <v>76881</v>
      </c>
      <c r="M352" s="27">
        <v>110849</v>
      </c>
      <c r="N352" s="27">
        <v>104492</v>
      </c>
      <c r="O352" s="27">
        <v>453358</v>
      </c>
      <c r="P352" s="218">
        <v>232069</v>
      </c>
      <c r="Q352" s="149">
        <f aca="true" t="shared" si="51" ref="Q352:Q375">SUM(C352:P352)</f>
        <v>45956341</v>
      </c>
    </row>
    <row r="353" spans="1:17" ht="45">
      <c r="A353" s="87">
        <v>1200</v>
      </c>
      <c r="B353" s="25" t="s">
        <v>233</v>
      </c>
      <c r="C353" s="18">
        <f>11735626+421</f>
        <v>11736047</v>
      </c>
      <c r="D353" s="18">
        <v>296464</v>
      </c>
      <c r="E353" s="18">
        <v>270910</v>
      </c>
      <c r="F353" s="263">
        <v>25295</v>
      </c>
      <c r="G353" s="263">
        <v>129682</v>
      </c>
      <c r="H353" s="58">
        <v>235177</v>
      </c>
      <c r="I353" s="18">
        <v>30304</v>
      </c>
      <c r="J353" s="18">
        <v>108294</v>
      </c>
      <c r="K353" s="18">
        <f>282299-2</f>
        <v>282297</v>
      </c>
      <c r="L353" s="18">
        <v>23571</v>
      </c>
      <c r="M353" s="18">
        <v>36164</v>
      </c>
      <c r="N353" s="18">
        <v>32001</v>
      </c>
      <c r="O353" s="18">
        <v>120618</v>
      </c>
      <c r="P353" s="59">
        <v>71018</v>
      </c>
      <c r="Q353" s="126">
        <f t="shared" si="51"/>
        <v>13397842</v>
      </c>
    </row>
    <row r="354" spans="1:17" ht="15">
      <c r="A354" s="87">
        <v>2000</v>
      </c>
      <c r="B354" s="25" t="s">
        <v>139</v>
      </c>
      <c r="C354" s="18">
        <f aca="true" t="shared" si="52" ref="C354:P354">SUM(C355:C359)</f>
        <v>22129381</v>
      </c>
      <c r="D354" s="18">
        <f t="shared" si="52"/>
        <v>1873054</v>
      </c>
      <c r="E354" s="18">
        <f t="shared" si="52"/>
        <v>832072</v>
      </c>
      <c r="F354" s="18">
        <f t="shared" si="52"/>
        <v>447518</v>
      </c>
      <c r="G354" s="18">
        <f t="shared" si="52"/>
        <v>244752</v>
      </c>
      <c r="H354" s="55">
        <f t="shared" si="52"/>
        <v>420836</v>
      </c>
      <c r="I354" s="18">
        <f t="shared" si="52"/>
        <v>245513</v>
      </c>
      <c r="J354" s="18">
        <f t="shared" si="52"/>
        <v>247752</v>
      </c>
      <c r="K354" s="18">
        <f t="shared" si="52"/>
        <v>657120</v>
      </c>
      <c r="L354" s="18">
        <f t="shared" si="52"/>
        <v>95060</v>
      </c>
      <c r="M354" s="18">
        <f t="shared" si="52"/>
        <v>78625</v>
      </c>
      <c r="N354" s="18">
        <f t="shared" si="52"/>
        <v>123880</v>
      </c>
      <c r="O354" s="18">
        <f t="shared" si="52"/>
        <v>227641</v>
      </c>
      <c r="P354" s="59">
        <f t="shared" si="52"/>
        <v>229853</v>
      </c>
      <c r="Q354" s="126">
        <f t="shared" si="51"/>
        <v>27853057</v>
      </c>
    </row>
    <row r="355" spans="1:17" ht="30">
      <c r="A355" s="87">
        <v>2100</v>
      </c>
      <c r="B355" s="25" t="s">
        <v>258</v>
      </c>
      <c r="C355" s="18">
        <f>509594-23740</f>
        <v>485854</v>
      </c>
      <c r="D355" s="18">
        <v>2500</v>
      </c>
      <c r="E355" s="18">
        <v>271</v>
      </c>
      <c r="F355" s="18"/>
      <c r="G355" s="55"/>
      <c r="H355" s="55">
        <v>238</v>
      </c>
      <c r="I355" s="18">
        <v>34</v>
      </c>
      <c r="J355" s="18">
        <v>24</v>
      </c>
      <c r="K355" s="18">
        <v>31516</v>
      </c>
      <c r="L355" s="18"/>
      <c r="M355" s="18">
        <v>57</v>
      </c>
      <c r="N355" s="9">
        <v>54</v>
      </c>
      <c r="O355" s="18">
        <v>100</v>
      </c>
      <c r="P355" s="59">
        <v>800</v>
      </c>
      <c r="Q355" s="126">
        <f t="shared" si="51"/>
        <v>521448</v>
      </c>
    </row>
    <row r="356" spans="1:17" ht="15">
      <c r="A356" s="87">
        <v>2200</v>
      </c>
      <c r="B356" s="25" t="s">
        <v>140</v>
      </c>
      <c r="C356" s="18">
        <f>15239140-7814-4000-5590-1000</f>
        <v>15220736</v>
      </c>
      <c r="D356" s="18">
        <v>1384151</v>
      </c>
      <c r="E356" s="18">
        <v>660240</v>
      </c>
      <c r="F356" s="18">
        <v>422054</v>
      </c>
      <c r="G356" s="55">
        <f>99634+2900-13177</f>
        <v>89357</v>
      </c>
      <c r="H356" s="55">
        <v>281910</v>
      </c>
      <c r="I356" s="9">
        <v>224485</v>
      </c>
      <c r="J356" s="18">
        <v>179564</v>
      </c>
      <c r="K356" s="9">
        <f>482332+1</f>
        <v>482333</v>
      </c>
      <c r="L356" s="18">
        <f>44362+39789</f>
        <v>84151</v>
      </c>
      <c r="M356" s="18">
        <v>40016</v>
      </c>
      <c r="N356" s="9">
        <v>91643</v>
      </c>
      <c r="O356" s="18">
        <v>173204</v>
      </c>
      <c r="P356" s="59">
        <v>187701</v>
      </c>
      <c r="Q356" s="126">
        <f t="shared" si="51"/>
        <v>19521545</v>
      </c>
    </row>
    <row r="357" spans="1:17" ht="30">
      <c r="A357" s="87">
        <v>2300</v>
      </c>
      <c r="B357" s="25" t="s">
        <v>141</v>
      </c>
      <c r="C357" s="18">
        <f>6265410-60476+4000</f>
        <v>6208934</v>
      </c>
      <c r="D357" s="18">
        <v>218339</v>
      </c>
      <c r="E357" s="18">
        <v>160557</v>
      </c>
      <c r="F357" s="18">
        <v>12679</v>
      </c>
      <c r="G357" s="55">
        <f>137046+4100+14249</f>
        <v>155395</v>
      </c>
      <c r="H357" s="55">
        <v>138558</v>
      </c>
      <c r="I357" s="18">
        <v>18827</v>
      </c>
      <c r="J357" s="18">
        <v>65817</v>
      </c>
      <c r="K357" s="9">
        <f>135143+1</f>
        <v>135144</v>
      </c>
      <c r="L357" s="18">
        <v>10796</v>
      </c>
      <c r="M357" s="18">
        <v>37205</v>
      </c>
      <c r="N357" s="18">
        <v>31761</v>
      </c>
      <c r="O357" s="18">
        <v>52020</v>
      </c>
      <c r="P357" s="59">
        <v>39732</v>
      </c>
      <c r="Q357" s="126">
        <f t="shared" si="51"/>
        <v>7285764</v>
      </c>
    </row>
    <row r="358" spans="1:17" ht="15">
      <c r="A358" s="87">
        <v>2400</v>
      </c>
      <c r="B358" s="25" t="s">
        <v>142</v>
      </c>
      <c r="C358" s="18">
        <v>28459</v>
      </c>
      <c r="D358" s="18"/>
      <c r="E358" s="18"/>
      <c r="F358" s="18"/>
      <c r="G358" s="55"/>
      <c r="H358" s="55"/>
      <c r="I358" s="18"/>
      <c r="J358" s="18">
        <v>333</v>
      </c>
      <c r="K358" s="18">
        <v>221</v>
      </c>
      <c r="L358" s="18"/>
      <c r="M358" s="18">
        <v>148</v>
      </c>
      <c r="N358" s="18">
        <v>133</v>
      </c>
      <c r="O358" s="18">
        <v>192</v>
      </c>
      <c r="P358" s="59"/>
      <c r="Q358" s="126">
        <f t="shared" si="51"/>
        <v>29486</v>
      </c>
    </row>
    <row r="359" spans="1:17" ht="15">
      <c r="A359" s="87">
        <v>2500</v>
      </c>
      <c r="B359" s="25" t="s">
        <v>143</v>
      </c>
      <c r="C359" s="18">
        <v>185398</v>
      </c>
      <c r="D359" s="18">
        <v>268064</v>
      </c>
      <c r="E359" s="18">
        <v>11004</v>
      </c>
      <c r="F359" s="18">
        <v>12785</v>
      </c>
      <c r="G359" s="55"/>
      <c r="H359" s="55">
        <v>130</v>
      </c>
      <c r="I359" s="18">
        <v>2167</v>
      </c>
      <c r="J359" s="18">
        <v>2014</v>
      </c>
      <c r="K359" s="18">
        <v>7906</v>
      </c>
      <c r="L359" s="18">
        <v>113</v>
      </c>
      <c r="M359" s="18">
        <v>1199</v>
      </c>
      <c r="N359" s="18">
        <v>289</v>
      </c>
      <c r="O359" s="18">
        <v>2125</v>
      </c>
      <c r="P359" s="59">
        <v>1620</v>
      </c>
      <c r="Q359" s="126">
        <f t="shared" si="51"/>
        <v>494814</v>
      </c>
    </row>
    <row r="360" spans="1:17" ht="30">
      <c r="A360" s="87">
        <v>3200</v>
      </c>
      <c r="B360" s="25" t="s">
        <v>234</v>
      </c>
      <c r="C360" s="18">
        <f>5743809+696</f>
        <v>5744505</v>
      </c>
      <c r="D360" s="18"/>
      <c r="E360" s="18"/>
      <c r="F360" s="18"/>
      <c r="G360" s="55"/>
      <c r="H360" s="55"/>
      <c r="I360" s="18"/>
      <c r="J360" s="18"/>
      <c r="K360" s="18"/>
      <c r="L360" s="18"/>
      <c r="M360" s="18"/>
      <c r="N360" s="18"/>
      <c r="O360" s="18"/>
      <c r="P360" s="59"/>
      <c r="Q360" s="126">
        <f t="shared" si="51"/>
        <v>5744505</v>
      </c>
    </row>
    <row r="361" spans="1:17" ht="15">
      <c r="A361" s="87">
        <v>4200</v>
      </c>
      <c r="B361" s="25" t="s">
        <v>337</v>
      </c>
      <c r="C361" s="18"/>
      <c r="D361" s="18"/>
      <c r="E361" s="18"/>
      <c r="F361" s="18"/>
      <c r="G361" s="55"/>
      <c r="H361" s="55"/>
      <c r="I361" s="18"/>
      <c r="J361" s="18"/>
      <c r="K361" s="18"/>
      <c r="L361" s="18"/>
      <c r="M361" s="18"/>
      <c r="N361" s="18"/>
      <c r="O361" s="18"/>
      <c r="P361" s="59"/>
      <c r="Q361" s="126">
        <f t="shared" si="51"/>
        <v>0</v>
      </c>
    </row>
    <row r="362" spans="1:17" ht="15">
      <c r="A362" s="87">
        <v>4300</v>
      </c>
      <c r="B362" s="25" t="s">
        <v>144</v>
      </c>
      <c r="C362" s="18">
        <v>2533196</v>
      </c>
      <c r="D362" s="18"/>
      <c r="E362" s="18"/>
      <c r="F362" s="18"/>
      <c r="G362" s="55"/>
      <c r="H362" s="55"/>
      <c r="I362" s="18"/>
      <c r="J362" s="18"/>
      <c r="K362" s="18"/>
      <c r="L362" s="18"/>
      <c r="M362" s="18"/>
      <c r="N362" s="18"/>
      <c r="O362" s="18"/>
      <c r="P362" s="59"/>
      <c r="Q362" s="126">
        <f t="shared" si="51"/>
        <v>2533196</v>
      </c>
    </row>
    <row r="363" spans="1:17" ht="15">
      <c r="A363" s="87">
        <v>5100</v>
      </c>
      <c r="B363" s="25" t="s">
        <v>109</v>
      </c>
      <c r="C363" s="18">
        <f>178761+20831</f>
        <v>199592</v>
      </c>
      <c r="D363" s="18">
        <v>12260</v>
      </c>
      <c r="E363" s="18">
        <v>5584</v>
      </c>
      <c r="F363" s="18"/>
      <c r="G363" s="55"/>
      <c r="H363" s="55"/>
      <c r="I363" s="18">
        <v>217</v>
      </c>
      <c r="J363" s="18"/>
      <c r="K363" s="18">
        <v>647</v>
      </c>
      <c r="L363" s="18"/>
      <c r="M363" s="18"/>
      <c r="N363" s="18"/>
      <c r="O363" s="18">
        <v>364</v>
      </c>
      <c r="P363" s="59"/>
      <c r="Q363" s="126">
        <f t="shared" si="51"/>
        <v>218664</v>
      </c>
    </row>
    <row r="364" spans="1:17" ht="15">
      <c r="A364" s="87">
        <v>5200</v>
      </c>
      <c r="B364" s="25" t="s">
        <v>145</v>
      </c>
      <c r="C364" s="18">
        <f>23613730+38777+5590+1000</f>
        <v>23659097</v>
      </c>
      <c r="D364" s="18">
        <v>684275</v>
      </c>
      <c r="E364" s="18">
        <v>128103</v>
      </c>
      <c r="F364" s="18">
        <v>40000</v>
      </c>
      <c r="G364" s="55">
        <f>14150-1072</f>
        <v>13078</v>
      </c>
      <c r="H364" s="55">
        <v>37444</v>
      </c>
      <c r="I364" s="18">
        <v>4039</v>
      </c>
      <c r="J364" s="18">
        <v>10763</v>
      </c>
      <c r="K364" s="18">
        <v>52761</v>
      </c>
      <c r="L364" s="18">
        <v>1299</v>
      </c>
      <c r="M364" s="18">
        <v>9142</v>
      </c>
      <c r="N364" s="18">
        <v>3786</v>
      </c>
      <c r="O364" s="18">
        <v>2777</v>
      </c>
      <c r="P364" s="59">
        <v>80473</v>
      </c>
      <c r="Q364" s="126">
        <f t="shared" si="51"/>
        <v>24727037</v>
      </c>
    </row>
    <row r="365" spans="1:17" ht="15">
      <c r="A365" s="87">
        <v>6200</v>
      </c>
      <c r="B365" s="25" t="s">
        <v>146</v>
      </c>
      <c r="C365" s="18">
        <f>1360909-2000</f>
        <v>1358909</v>
      </c>
      <c r="D365" s="18"/>
      <c r="E365" s="18"/>
      <c r="F365" s="18"/>
      <c r="G365" s="55"/>
      <c r="H365" s="55"/>
      <c r="I365" s="18"/>
      <c r="J365" s="18"/>
      <c r="K365" s="18">
        <v>91</v>
      </c>
      <c r="L365" s="209"/>
      <c r="M365" s="18">
        <v>45</v>
      </c>
      <c r="N365" s="18"/>
      <c r="O365" s="18">
        <v>45</v>
      </c>
      <c r="P365" s="59"/>
      <c r="Q365" s="126">
        <f t="shared" si="51"/>
        <v>1359090</v>
      </c>
    </row>
    <row r="366" spans="1:17" ht="15">
      <c r="A366" s="87">
        <v>6300</v>
      </c>
      <c r="B366" s="25" t="s">
        <v>147</v>
      </c>
      <c r="C366" s="18">
        <v>1025693</v>
      </c>
      <c r="D366" s="18"/>
      <c r="E366" s="18"/>
      <c r="F366" s="18"/>
      <c r="G366" s="55"/>
      <c r="H366" s="55"/>
      <c r="I366" s="18"/>
      <c r="J366" s="18"/>
      <c r="K366" s="18"/>
      <c r="L366" s="18"/>
      <c r="M366" s="18"/>
      <c r="N366" s="18"/>
      <c r="O366" s="18"/>
      <c r="P366" s="59"/>
      <c r="Q366" s="126">
        <f t="shared" si="51"/>
        <v>1025693</v>
      </c>
    </row>
    <row r="367" spans="1:17" ht="30">
      <c r="A367" s="87">
        <v>6400</v>
      </c>
      <c r="B367" s="25" t="s">
        <v>235</v>
      </c>
      <c r="C367" s="18">
        <f>1986376+2000</f>
        <v>1988376</v>
      </c>
      <c r="D367" s="18"/>
      <c r="E367" s="18"/>
      <c r="F367" s="18"/>
      <c r="G367" s="55"/>
      <c r="H367" s="55"/>
      <c r="I367" s="18"/>
      <c r="J367" s="18"/>
      <c r="K367" s="18">
        <v>600</v>
      </c>
      <c r="L367" s="18"/>
      <c r="M367" s="18"/>
      <c r="N367" s="18"/>
      <c r="O367" s="18"/>
      <c r="P367" s="59"/>
      <c r="Q367" s="126">
        <f t="shared" si="51"/>
        <v>1988976</v>
      </c>
    </row>
    <row r="368" spans="1:17" ht="30">
      <c r="A368" s="87">
        <v>6500</v>
      </c>
      <c r="B368" s="25" t="s">
        <v>259</v>
      </c>
      <c r="C368" s="18">
        <v>467</v>
      </c>
      <c r="D368" s="18"/>
      <c r="E368" s="18"/>
      <c r="F368" s="18"/>
      <c r="G368" s="55"/>
      <c r="H368" s="55"/>
      <c r="I368" s="18"/>
      <c r="J368" s="18"/>
      <c r="K368" s="18"/>
      <c r="L368" s="18"/>
      <c r="M368" s="18"/>
      <c r="N368" s="18"/>
      <c r="O368" s="18"/>
      <c r="P368" s="59"/>
      <c r="Q368" s="126">
        <f t="shared" si="51"/>
        <v>467</v>
      </c>
    </row>
    <row r="369" spans="1:17" ht="15">
      <c r="A369" s="87">
        <v>7200</v>
      </c>
      <c r="B369" s="25" t="s">
        <v>236</v>
      </c>
      <c r="C369" s="18">
        <f>1063380+42754</f>
        <v>1106134</v>
      </c>
      <c r="D369" s="18"/>
      <c r="E369" s="18"/>
      <c r="F369" s="18"/>
      <c r="G369" s="55"/>
      <c r="H369" s="55"/>
      <c r="I369" s="18"/>
      <c r="J369" s="18"/>
      <c r="K369" s="18">
        <v>24</v>
      </c>
      <c r="L369" s="18"/>
      <c r="M369" s="18"/>
      <c r="N369" s="18"/>
      <c r="O369" s="18"/>
      <c r="P369" s="59"/>
      <c r="Q369" s="126">
        <f t="shared" si="51"/>
        <v>1106158</v>
      </c>
    </row>
    <row r="370" spans="1:17" ht="30">
      <c r="A370" s="87">
        <v>7400</v>
      </c>
      <c r="B370" s="25" t="s">
        <v>398</v>
      </c>
      <c r="C370" s="18"/>
      <c r="D370" s="18"/>
      <c r="E370" s="18"/>
      <c r="F370" s="18"/>
      <c r="G370" s="55"/>
      <c r="H370" s="55"/>
      <c r="I370" s="18"/>
      <c r="J370" s="18"/>
      <c r="K370" s="18"/>
      <c r="L370" s="18"/>
      <c r="M370" s="18"/>
      <c r="N370" s="18"/>
      <c r="O370" s="18"/>
      <c r="P370" s="57"/>
      <c r="Q370" s="126">
        <f t="shared" si="51"/>
        <v>0</v>
      </c>
    </row>
    <row r="371" spans="1:17" ht="15">
      <c r="A371" s="87">
        <v>7700</v>
      </c>
      <c r="B371" s="25" t="s">
        <v>361</v>
      </c>
      <c r="C371" s="18">
        <v>41100</v>
      </c>
      <c r="D371" s="18"/>
      <c r="E371" s="18"/>
      <c r="F371" s="18"/>
      <c r="G371" s="55"/>
      <c r="H371" s="55"/>
      <c r="I371" s="18"/>
      <c r="J371" s="18"/>
      <c r="K371" s="18"/>
      <c r="L371" s="18"/>
      <c r="M371" s="18"/>
      <c r="N371" s="18"/>
      <c r="O371" s="18"/>
      <c r="P371" s="57"/>
      <c r="Q371" s="126">
        <f t="shared" si="51"/>
        <v>41100</v>
      </c>
    </row>
    <row r="372" spans="1:17" ht="15">
      <c r="A372" s="87">
        <v>8100</v>
      </c>
      <c r="B372" s="18" t="s">
        <v>269</v>
      </c>
      <c r="C372" s="18"/>
      <c r="D372" s="18"/>
      <c r="E372" s="18"/>
      <c r="F372" s="18"/>
      <c r="G372" s="55"/>
      <c r="H372" s="55"/>
      <c r="I372" s="18"/>
      <c r="J372" s="18"/>
      <c r="K372" s="18"/>
      <c r="L372" s="18"/>
      <c r="M372" s="18"/>
      <c r="N372" s="18"/>
      <c r="O372" s="18"/>
      <c r="P372" s="57"/>
      <c r="Q372" s="126">
        <f t="shared" si="51"/>
        <v>0</v>
      </c>
    </row>
    <row r="373" spans="1:17" ht="45" hidden="1">
      <c r="A373" s="87">
        <v>8900</v>
      </c>
      <c r="B373" s="68" t="s">
        <v>338</v>
      </c>
      <c r="C373" s="70"/>
      <c r="D373" s="70"/>
      <c r="E373" s="70"/>
      <c r="F373" s="70"/>
      <c r="G373" s="70"/>
      <c r="H373" s="18"/>
      <c r="I373" s="70"/>
      <c r="J373" s="70"/>
      <c r="K373" s="70"/>
      <c r="L373" s="70"/>
      <c r="M373" s="70"/>
      <c r="N373" s="18"/>
      <c r="O373" s="66"/>
      <c r="P373" s="64"/>
      <c r="Q373" s="126">
        <f t="shared" si="51"/>
        <v>0</v>
      </c>
    </row>
    <row r="374" spans="1:17" ht="15.75" thickBot="1">
      <c r="A374" s="76">
        <v>9000</v>
      </c>
      <c r="B374" s="194" t="s">
        <v>326</v>
      </c>
      <c r="C374" s="83"/>
      <c r="D374" s="83"/>
      <c r="E374" s="83"/>
      <c r="F374" s="83"/>
      <c r="G374" s="83"/>
      <c r="H374" s="83"/>
      <c r="I374" s="83"/>
      <c r="J374" s="83"/>
      <c r="K374" s="83"/>
      <c r="L374" s="83"/>
      <c r="M374" s="83"/>
      <c r="N374" s="83"/>
      <c r="O374" s="212"/>
      <c r="P374" s="219"/>
      <c r="Q374" s="126">
        <f t="shared" si="51"/>
        <v>0</v>
      </c>
    </row>
    <row r="375" spans="1:17" ht="15.75" thickBot="1">
      <c r="A375" s="170"/>
      <c r="B375" s="195" t="s">
        <v>148</v>
      </c>
      <c r="C375" s="196">
        <f aca="true" t="shared" si="53" ref="C375:P375">SUM(C352:C354,C360:C374)</f>
        <v>111665755</v>
      </c>
      <c r="D375" s="196">
        <f t="shared" si="53"/>
        <v>3977470</v>
      </c>
      <c r="E375" s="196">
        <f t="shared" si="53"/>
        <v>2224521</v>
      </c>
      <c r="F375" s="196">
        <f t="shared" si="53"/>
        <v>595267</v>
      </c>
      <c r="G375" s="196">
        <f t="shared" si="53"/>
        <v>832128</v>
      </c>
      <c r="H375" s="196">
        <f t="shared" si="53"/>
        <v>1510908</v>
      </c>
      <c r="I375" s="196">
        <f t="shared" si="53"/>
        <v>382344</v>
      </c>
      <c r="J375" s="196">
        <f t="shared" si="53"/>
        <v>737738</v>
      </c>
      <c r="K375" s="196">
        <f t="shared" si="53"/>
        <v>1911984</v>
      </c>
      <c r="L375" s="196">
        <f t="shared" si="53"/>
        <v>196811</v>
      </c>
      <c r="M375" s="196">
        <f t="shared" si="53"/>
        <v>234825</v>
      </c>
      <c r="N375" s="196">
        <f t="shared" si="53"/>
        <v>264159</v>
      </c>
      <c r="O375" s="196">
        <f t="shared" si="53"/>
        <v>804803</v>
      </c>
      <c r="P375" s="196">
        <f t="shared" si="53"/>
        <v>613413</v>
      </c>
      <c r="Q375" s="47">
        <f t="shared" si="51"/>
        <v>125952126</v>
      </c>
    </row>
    <row r="376" spans="2:7" ht="15">
      <c r="B376" s="197"/>
      <c r="C376" s="187"/>
      <c r="D376" s="31"/>
      <c r="E376" s="31"/>
      <c r="F376" s="31"/>
      <c r="G376" s="31"/>
    </row>
    <row r="377" spans="2:17" ht="15">
      <c r="B377" s="197"/>
      <c r="C377" s="187"/>
      <c r="D377" s="31"/>
      <c r="E377" s="31"/>
      <c r="F377" s="31"/>
      <c r="G377" s="31"/>
      <c r="Q377" s="172"/>
    </row>
    <row r="378" spans="2:7" ht="15">
      <c r="B378" s="198" t="s">
        <v>249</v>
      </c>
      <c r="C378" s="187"/>
      <c r="D378" s="31" t="s">
        <v>20</v>
      </c>
      <c r="E378" s="31"/>
      <c r="F378" s="31"/>
      <c r="G378" s="31"/>
    </row>
    <row r="383" ht="15">
      <c r="B383" s="198"/>
    </row>
  </sheetData>
  <sheetProtection/>
  <mergeCells count="2">
    <mergeCell ref="A5:C5"/>
    <mergeCell ref="A350:C350"/>
  </mergeCells>
  <printOptions/>
  <pageMargins left="0.2362204724409449" right="0.35433070866141736" top="0.7874015748031497" bottom="0.5905511811023623" header="0.5118110236220472" footer="0.5118110236220472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Ogres novada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Velberga</dc:creator>
  <cp:keywords/>
  <dc:description/>
  <cp:lastModifiedBy>Santa Hermane</cp:lastModifiedBy>
  <cp:lastPrinted>2023-12-21T08:05:38Z</cp:lastPrinted>
  <dcterms:created xsi:type="dcterms:W3CDTF">2006-04-20T10:34:24Z</dcterms:created>
  <dcterms:modified xsi:type="dcterms:W3CDTF">2023-12-21T08:06:45Z</dcterms:modified>
  <cp:category/>
  <cp:version/>
  <cp:contentType/>
  <cp:contentStatus/>
</cp:coreProperties>
</file>