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matbudžets_ieņēmumi" sheetId="1" r:id="rId1"/>
    <sheet name="Pamatbudžets_izdevumi" sheetId="2" r:id="rId2"/>
  </sheets>
  <definedNames/>
  <calcPr fullCalcOnLoad="1"/>
</workbook>
</file>

<file path=xl/sharedStrings.xml><?xml version="1.0" encoding="utf-8"?>
<sst xmlns="http://schemas.openxmlformats.org/spreadsheetml/2006/main" count="609" uniqueCount="575">
  <si>
    <t>Kods</t>
  </si>
  <si>
    <t>4.1.1.0.</t>
  </si>
  <si>
    <t>4.1.2.0.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</si>
  <si>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</si>
  <si>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</si>
  <si>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</si>
  <si>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</si>
  <si>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</si>
  <si>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</si>
  <si>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</si>
  <si>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</si>
  <si>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</si>
  <si>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</si>
  <si>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</si>
  <si>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</si>
  <si>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S.Velberga</t>
  </si>
  <si>
    <t>21.3.0.0.</t>
  </si>
  <si>
    <t>Valsts kases kredīts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</si>
  <si>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</si>
  <si>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</si>
  <si>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</si>
  <si>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</si>
  <si>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</si>
  <si>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</si>
  <si>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Nenodokļu ieņēmumi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</si>
  <si>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</si>
  <si>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</si>
  <si>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</si>
  <si>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</si>
  <si>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</si>
  <si>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</si>
  <si>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</si>
  <si>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</si>
  <si>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</si>
  <si>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</si>
  <si>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</si>
  <si>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</si>
  <si>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</si>
  <si>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</si>
  <si>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</si>
  <si>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</si>
  <si>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</si>
  <si>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</si>
  <si>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</si>
  <si>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</si>
  <si>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</si>
  <si>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</si>
  <si>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</si>
  <si>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</si>
  <si>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</si>
  <si>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</si>
  <si>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</si>
  <si>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</si>
  <si>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Ekonomiskā darbība</t>
  </si>
  <si>
    <t>04.210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</si>
  <si>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</si>
  <si>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</si>
  <si>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</si>
  <si>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</si>
  <si>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</si>
  <si>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</si>
  <si>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</si>
  <si>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</si>
  <si>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</si>
  <si>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</si>
  <si>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</si>
  <si>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</si>
  <si>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</si>
  <si>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</si>
  <si>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</si>
  <si>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</si>
  <si>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</si>
  <si>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</si>
  <si>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</si>
  <si>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</si>
  <si>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</si>
  <si>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</si>
  <si>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</si>
  <si>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</si>
  <si>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</si>
  <si>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08.220</t>
  </si>
  <si>
    <t>08.290</t>
  </si>
  <si>
    <t>Televīzija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</si>
  <si>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</si>
  <si>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</si>
  <si>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</si>
  <si>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</si>
  <si>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</si>
  <si>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</si>
  <si>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</si>
  <si>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</si>
  <si>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</si>
  <si>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</si>
  <si>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</si>
  <si>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</si>
  <si>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</si>
  <si>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</si>
  <si>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</si>
  <si>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</si>
  <si>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</si>
  <si>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</si>
  <si>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</si>
  <si>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</si>
  <si>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</si>
  <si>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</si>
  <si>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</si>
  <si>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</si>
  <si>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</si>
  <si>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</si>
  <si>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</si>
  <si>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</si>
  <si>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</si>
  <si>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Pašvaldību budžetu valsts iekšējā parāda darījumi</t>
  </si>
  <si>
    <t xml:space="preserve">       Notekūdeņu (savākšana un attīrīšana)</t>
  </si>
  <si>
    <t>Pabalsts maznodrošinātām ģimenēm</t>
  </si>
  <si>
    <t>Valsts budžeta transferti</t>
  </si>
  <si>
    <t xml:space="preserve">    Muzeji un izstādes</t>
  </si>
  <si>
    <t xml:space="preserve">    Finansējums PA "Ogres kultūras centrs"</t>
  </si>
  <si>
    <t xml:space="preserve">    Pilsētas dekorēšana svētkiem</t>
  </si>
  <si>
    <t>Ieņēmumi no pašvaldības īpašuma iznomāšanas, pārdošanas un nodokļu pamatp.kapitaliz.</t>
  </si>
  <si>
    <t>Pielikums Nr.2</t>
  </si>
  <si>
    <t>Pielikums Nr.1</t>
  </si>
  <si>
    <t xml:space="preserve">       Lietus ūdens kanalizācija </t>
  </si>
  <si>
    <t>PII " Strautiņš"</t>
  </si>
  <si>
    <t xml:space="preserve">       mājokļu apsaimniekošana</t>
  </si>
  <si>
    <t xml:space="preserve">       siltumapgāde</t>
  </si>
  <si>
    <t xml:space="preserve">       kapu saimniecība</t>
  </si>
  <si>
    <t>Basketbola skola</t>
  </si>
  <si>
    <t xml:space="preserve">      Pārējie izdevumi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</si>
  <si>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</si>
  <si>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</si>
  <si>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</si>
  <si>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</si>
  <si>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</si>
  <si>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</si>
  <si>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</si>
  <si>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</si>
  <si>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</si>
  <si>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</si>
  <si>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</si>
  <si>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</si>
  <si>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</si>
  <si>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</si>
  <si>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</si>
  <si>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19.1.0.0.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</si>
  <si>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</si>
  <si>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</si>
  <si>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</si>
  <si>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</si>
  <si>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</si>
  <si>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Būvvalde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</si>
  <si>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</si>
  <si>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</si>
  <si>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</si>
  <si>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</si>
  <si>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</si>
  <si>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</si>
  <si>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</si>
  <si>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</si>
  <si>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</si>
  <si>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10.500</t>
  </si>
  <si>
    <t>Atbalsts bezdarba gadījumā</t>
  </si>
  <si>
    <t xml:space="preserve">Sabiedriskās organizācijas </t>
  </si>
  <si>
    <t>Pansionāts "Madliena"</t>
  </si>
  <si>
    <t>F40 32 00 20</t>
  </si>
  <si>
    <t>Izdevumi periodikas iegādei</t>
  </si>
  <si>
    <t>Sociālie pabalsti natūrā</t>
  </si>
  <si>
    <t>5.5.3.0.</t>
  </si>
  <si>
    <t>Dabas resursu nodoklis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</si>
  <si>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</si>
  <si>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</si>
  <si>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</si>
  <si>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</si>
  <si>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</si>
  <si>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</si>
  <si>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</si>
  <si>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</si>
  <si>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</si>
  <si>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</si>
  <si>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</si>
  <si>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</si>
  <si>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F56010000</t>
  </si>
  <si>
    <t>Kapitālieguldījumu fondu akcijas</t>
  </si>
  <si>
    <t>Ielu tīrīšanai, atkritumu savākšanai,teritoriju labiekārtošanai</t>
  </si>
  <si>
    <t>Mājokļu attīstība pašvaldībā</t>
  </si>
  <si>
    <t xml:space="preserve">       Ģimenes ārstu prakse </t>
  </si>
  <si>
    <t xml:space="preserve">    Bibliotēkas </t>
  </si>
  <si>
    <t>PII "Riekstiņš"</t>
  </si>
  <si>
    <t>09.810</t>
  </si>
  <si>
    <t>Projekts Skolēnu autobusi (Soc.droš.tīkls)</t>
  </si>
  <si>
    <t>10.400</t>
  </si>
  <si>
    <t>Atbalsts ģimenēm ar bērniem (Bāriņtiesas)</t>
  </si>
  <si>
    <t>18.6.0.0.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</si>
  <si>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</si>
  <si>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</si>
  <si>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</si>
  <si>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</si>
  <si>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</si>
  <si>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</si>
  <si>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</si>
  <si>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</si>
  <si>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</si>
  <si>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</si>
  <si>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</si>
  <si>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</si>
  <si>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</si>
  <si>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</si>
  <si>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</si>
  <si>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</si>
  <si>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</si>
  <si>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</si>
  <si>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</si>
  <si>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</si>
  <si>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04.6001</t>
  </si>
  <si>
    <t>05.1001</t>
  </si>
  <si>
    <t>05.2001</t>
  </si>
  <si>
    <t>05.2002</t>
  </si>
  <si>
    <t>05.400</t>
  </si>
  <si>
    <t>Bioloģiskās daudzveidības un ainavas aizsardzība</t>
  </si>
  <si>
    <t>05.300</t>
  </si>
  <si>
    <t>Vides piesārņojuma novēršana un samazināšana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</si>
  <si>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</si>
  <si>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</si>
  <si>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</si>
  <si>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</si>
  <si>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</si>
  <si>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</si>
  <si>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</si>
  <si>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</si>
  <si>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</si>
  <si>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</si>
  <si>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</si>
  <si>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 xml:space="preserve">    Kultūras centri, nami</t>
  </si>
  <si>
    <t>Pārējā citur neklasificētā kultūra</t>
  </si>
  <si>
    <t>08.29001</t>
  </si>
  <si>
    <t>08.29002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</si>
  <si>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</si>
  <si>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</si>
  <si>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</si>
  <si>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</si>
  <si>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</si>
  <si>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</si>
  <si>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</si>
  <si>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</si>
  <si>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</si>
  <si>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</si>
  <si>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</si>
  <si>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</si>
  <si>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</si>
  <si>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</si>
  <si>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</si>
  <si>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</si>
  <si>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</si>
  <si>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</si>
  <si>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</si>
  <si>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</si>
  <si>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</si>
  <si>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</si>
  <si>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</si>
  <si>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</si>
  <si>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</si>
  <si>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</si>
  <si>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</si>
  <si>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</si>
  <si>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</si>
  <si>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</si>
  <si>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</si>
  <si>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10.70006</t>
  </si>
  <si>
    <t>10.70010</t>
  </si>
  <si>
    <t>08.230</t>
  </si>
  <si>
    <t>01.830    7230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</si>
  <si>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</si>
  <si>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</si>
  <si>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</si>
  <si>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</si>
  <si>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</si>
  <si>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4.1.3.0.</t>
  </si>
  <si>
    <t>Nekustamā īpašuma nodoklis par mājokļiem</t>
  </si>
  <si>
    <t>06.100</t>
  </si>
  <si>
    <t>06.3001</t>
  </si>
  <si>
    <t xml:space="preserve">          Vēstures un mākslas muzejs</t>
  </si>
  <si>
    <t>17.2.0.0.</t>
  </si>
  <si>
    <t>Pašvaldību saņemtie transferti no valsts budžeta daļēji finansētām atvasinātām publiskām personām un no budžeta nefinansētām iestādēm</t>
  </si>
  <si>
    <t>Finansējums Ogres un Ikšķiles PA "Tūrisma, sporta un atpūtas kompleksa "Zilie kalni"attīstības aģentūra"</t>
  </si>
  <si>
    <t>03.200</t>
  </si>
  <si>
    <t>Ugunsdrošības, glābšanas un civilās drošības dienesti</t>
  </si>
  <si>
    <t>Publisko interneta pieejas punktu attīstība</t>
  </si>
  <si>
    <t>Taurupes pamatskola</t>
  </si>
  <si>
    <t>F22010020</t>
  </si>
  <si>
    <t>Pieprasījuma noguldījuma izņemšana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</si>
  <si>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</si>
  <si>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</si>
  <si>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</si>
  <si>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</si>
  <si>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</si>
  <si>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</si>
  <si>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04.2102</t>
  </si>
  <si>
    <t>04.2103</t>
  </si>
  <si>
    <t>04.51007</t>
  </si>
  <si>
    <t xml:space="preserve">     Grants ceļu bez cietā seguma posmu pārbūve Ogres novadā</t>
  </si>
  <si>
    <t>05.1007</t>
  </si>
  <si>
    <t xml:space="preserve">      Koncesija atkritumu apsaimniekošana</t>
  </si>
  <si>
    <t>06.1001</t>
  </si>
  <si>
    <t>08.1004</t>
  </si>
  <si>
    <t xml:space="preserve">       Struktūrvienība peldbaseins  "Neptūns"</t>
  </si>
  <si>
    <t>08.29011</t>
  </si>
  <si>
    <t>09.82030</t>
  </si>
  <si>
    <t xml:space="preserve">      8.1.2.SAM "Uzlabot vispārējās izglītības iestāžu mācību vidi Ogres novadā"</t>
  </si>
  <si>
    <t>10.70015</t>
  </si>
  <si>
    <t xml:space="preserve">       ES projekts "Deinstitucionalizācija un sociālie pakalpojumi personām ar invaliditāti un bērniem"</t>
  </si>
  <si>
    <t>Kredīta atmaksa        F40322220</t>
  </si>
  <si>
    <t>Līdzekļu atlikums uz gada beigām (Kases apgrozāmie līdzekļi)  F22010020</t>
  </si>
  <si>
    <t>Kompensācijas, kuras izmaksā personām, pamatojoties uz Latvijas tiesu nolēmumiem</t>
  </si>
  <si>
    <t xml:space="preserve">       Projektu konkurss RADI Ogres novadam (Kultūras, sporta un izglītības pasākumi, mācības, kursi)</t>
  </si>
  <si>
    <t xml:space="preserve">     Projekts Skolēnu autobusi (Šveice)</t>
  </si>
  <si>
    <t xml:space="preserve">Pašvaldības un tās iestāžu savstarpējie transferti </t>
  </si>
  <si>
    <t>Kapitālo izdevumu transferti</t>
  </si>
  <si>
    <t xml:space="preserve">       Norēķini ar citu pašvaldību sociālo pakalpojumu iestādēm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</si>
  <si>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</si>
  <si>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01.83011</t>
  </si>
  <si>
    <t>01.83012</t>
  </si>
  <si>
    <t>01.83013</t>
  </si>
  <si>
    <t>03.2001</t>
  </si>
  <si>
    <t>04.11102</t>
  </si>
  <si>
    <t>Projektu pieteikumu izstrāde, tehniskās dokumentācijas sagatavošana</t>
  </si>
  <si>
    <t>04.11103</t>
  </si>
  <si>
    <t>Informatīvi pasākumi uzņēmējiem</t>
  </si>
  <si>
    <t>SAM 5,6,2, Degradētās teritorijas Pārogres industriālajā parkā revitalizācija</t>
  </si>
  <si>
    <t>04.4301</t>
  </si>
  <si>
    <t>05.4001</t>
  </si>
  <si>
    <t xml:space="preserve">   Bioloģiskās daudzveidības un ainavas aizsardzība</t>
  </si>
  <si>
    <t xml:space="preserve">Mājokļu attīstība </t>
  </si>
  <si>
    <t>06.2001</t>
  </si>
  <si>
    <t>Vispārējie ūdens apgādes izdevumi</t>
  </si>
  <si>
    <t xml:space="preserve">       Projektu konkurss "Veidojam vidi ap mums Ogres novadā"</t>
  </si>
  <si>
    <t xml:space="preserve">      Nevalstisko organizāciju projektu atbalstam</t>
  </si>
  <si>
    <t>06.60012</t>
  </si>
  <si>
    <t xml:space="preserve">      Pašvaldības teritoriju labiekārtošana</t>
  </si>
  <si>
    <t>07.2101</t>
  </si>
  <si>
    <t>07.4501</t>
  </si>
  <si>
    <t xml:space="preserve">      SAM 9.2.4.2. Pasākumi vietējās sabiedrības slimību profilaksei un veselības veicināšanai</t>
  </si>
  <si>
    <t>08.2101</t>
  </si>
  <si>
    <t xml:space="preserve">    Kultūras centri - tautas nami</t>
  </si>
  <si>
    <t>08.2301</t>
  </si>
  <si>
    <t>08.2304</t>
  </si>
  <si>
    <t xml:space="preserve">    Kultūras aktivitātes / pasākumi</t>
  </si>
  <si>
    <t>08.29007</t>
  </si>
  <si>
    <t xml:space="preserve">    Papildus aktivitātes  Ogres novada pašvaldības iestādēs (vasaras nometnes)</t>
  </si>
  <si>
    <t>08.300</t>
  </si>
  <si>
    <t>Apraides un izdevniecības pakalpojumi</t>
  </si>
  <si>
    <t>08.400</t>
  </si>
  <si>
    <t>09.60010</t>
  </si>
  <si>
    <t>Ēdināšanas izmaksu kompensācijas</t>
  </si>
  <si>
    <t>09.60020</t>
  </si>
  <si>
    <t>Skolnieku pārvadājumi</t>
  </si>
  <si>
    <t>09.82001</t>
  </si>
  <si>
    <t>Karjeras atbalsts vispārējās un profesionālās izglītības iestādēs</t>
  </si>
  <si>
    <t>09.82032</t>
  </si>
  <si>
    <t>Pārējās izglītības iestāžu pedagogu profesionālās kompetences  pilnveide (Ģimnāzija)</t>
  </si>
  <si>
    <t>09.82039</t>
  </si>
  <si>
    <t>Atbalsts izglītojamo individuālo kompetenču attīstībai</t>
  </si>
  <si>
    <t>10.70003</t>
  </si>
  <si>
    <t>Sociālā dienesta asistentu pakalpojumi</t>
  </si>
  <si>
    <t>Jauniešu garantijas ietvaros projekta "PROTI un DARI!" īstenošana</t>
  </si>
  <si>
    <t>08.2303</t>
  </si>
  <si>
    <t xml:space="preserve">    Komunikāciju centrs Ķeipenē</t>
  </si>
  <si>
    <t>08.2204</t>
  </si>
  <si>
    <t xml:space="preserve">    Sudrabu Edžus memoriālā istabs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</si>
  <si>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</si>
  <si>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</si>
  <si>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</si>
  <si>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"Kultūras centrs"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</si>
  <si>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</si>
  <si>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</si>
  <si>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</si>
  <si>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</si>
  <si>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</si>
  <si>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</si>
  <si>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</si>
  <si>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</si>
  <si>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</si>
  <si>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</si>
  <si>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</si>
  <si>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</si>
  <si>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Ogres novada pašvaldības 2021. gada pamatbudžeta  izdevumi atbilstoši ekonomiskajām kategorijām.</t>
  </si>
  <si>
    <t>Ogres novada pašvaldības domes</t>
  </si>
  <si>
    <t>5.4.1.0.</t>
  </si>
  <si>
    <t>Azartspēļu nodoklis</t>
  </si>
  <si>
    <t>8.3.0.0.</t>
  </si>
  <si>
    <t>Īeņēmumi no dividendēm</t>
  </si>
  <si>
    <t>8.9.0.0.</t>
  </si>
  <si>
    <t>Pārējie finanšu ieņēmumi</t>
  </si>
  <si>
    <t>12.0.0.0.</t>
  </si>
  <si>
    <t>21.3.4.0.</t>
  </si>
  <si>
    <t>Procentu ieņēmumi par maksas pakalpojumiem un pašu ieguldījumiem depozītā</t>
  </si>
  <si>
    <t>01.6001</t>
  </si>
  <si>
    <t>Pārējie iepriekš neklasificētie vispārējie valdības dienesti (Vēlēšanas)</t>
  </si>
  <si>
    <t>Civilās aizsardzības pasākumi (COVID-19 izdevumi)</t>
  </si>
  <si>
    <t>03.6002</t>
  </si>
  <si>
    <t>Atskurbtuves pakalpojumiem</t>
  </si>
  <si>
    <t>04.11116</t>
  </si>
  <si>
    <t>Ogres novadnieka karte</t>
  </si>
  <si>
    <t>04.11118</t>
  </si>
  <si>
    <t>LAD projekts Suntažu tirgus laukuma izveide</t>
  </si>
  <si>
    <t xml:space="preserve">Centrālās Baltijas jūras reģiona programmas projekts "Nordic urban planning:  holistic approach for extreme weather" (NOAH) </t>
  </si>
  <si>
    <t>04.510010</t>
  </si>
  <si>
    <t>04.51002</t>
  </si>
  <si>
    <t>Gājēju ceļa no Pārogres stacijas līdz Pārogres gatvei rekonstrukcija</t>
  </si>
  <si>
    <t>04.51003</t>
  </si>
  <si>
    <t>Zilokalnu un Vidus prospekta krustojuma satiksmes organizācija</t>
  </si>
  <si>
    <t>04.51005</t>
  </si>
  <si>
    <t>04.51015</t>
  </si>
  <si>
    <t>04.51016</t>
  </si>
  <si>
    <t>Projekts "Uzņēmējdarbības attīstība Ogres stacijas rajonā, pārbūvējot uzņēmējiem svarīgu ielas posmu un laukumu Ogrē'' un Stacijas laukuma stāvlaukuma pārbūve.</t>
  </si>
  <si>
    <t>04.51017</t>
  </si>
  <si>
    <t>Birzgales ielas, Ogrē pārbūve</t>
  </si>
  <si>
    <t>04.51018</t>
  </si>
  <si>
    <t>04.51019</t>
  </si>
  <si>
    <t>Gājēju ceļa izbūve Jaunogres prospekta posmā no Baldones ielas līdz Raiņa prospektam, Ogrē</t>
  </si>
  <si>
    <t>04.51020</t>
  </si>
  <si>
    <t>04.51021</t>
  </si>
  <si>
    <t>Gājēju tuneļa apgaismojuma ierīkošana Upes pr. 19 un Skolas iela 18, Ogrē</t>
  </si>
  <si>
    <t>04.51022</t>
  </si>
  <si>
    <t>04.51023</t>
  </si>
  <si>
    <t>04.51024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</si>
  <si>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</si>
  <si>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</si>
  <si>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</si>
  <si>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04.51026</t>
  </si>
  <si>
    <t>Gājēju ietves izbūve Madlienā</t>
  </si>
  <si>
    <t>04.7301</t>
  </si>
  <si>
    <t>Tūrisma informācijas centrs</t>
  </si>
  <si>
    <t>05.30001</t>
  </si>
  <si>
    <t>Energoefektivitātes pasākumi</t>
  </si>
  <si>
    <t>05.30002</t>
  </si>
  <si>
    <t>Siltumnīcefekta gāzu emisiju samazināšana izbūvējot Ogres Centrālo bibliotēkas ēku</t>
  </si>
  <si>
    <t>06.60004</t>
  </si>
  <si>
    <t>Dabas un bioloģiskās daudzveidības saglabāšanas un aizsardzības pasākumi īpaši aizsargājamajā dabas teritorijā "Ogres ieleja"</t>
  </si>
  <si>
    <t>06.60015</t>
  </si>
  <si>
    <t>Viedo tehnoloģiju ieviešana Ogres pilsētas apgaismojuma sistēmā</t>
  </si>
  <si>
    <t>06.60022</t>
  </si>
  <si>
    <t>SIA Ogres namsaimnieks finansējums domes deliģēto funkciju izpildei</t>
  </si>
  <si>
    <t>06.60024</t>
  </si>
  <si>
    <t>Vides aizsardzības proj. "Lobes ezera apsaimniekošanas plāna izstrāde"</t>
  </si>
  <si>
    <t>06.60026</t>
  </si>
  <si>
    <t>06.60027</t>
  </si>
  <si>
    <t>06.60028</t>
  </si>
  <si>
    <t>06.60029</t>
  </si>
  <si>
    <t>Tirgus laukuma Suntažos uzturēšanai</t>
  </si>
  <si>
    <t>07.4502</t>
  </si>
  <si>
    <t xml:space="preserve">     Veselības veicināšanas pasākumiem</t>
  </si>
  <si>
    <t>08.29008</t>
  </si>
  <si>
    <t>Kultūras mantojuma saglabāšana un attīstība Daugavas ceļā</t>
  </si>
  <si>
    <t>08.29012</t>
  </si>
  <si>
    <t>Zaļā tūrisma ceļu attīstība Latvijas un Krievijas pierobežas reģionā ” Greenways (Zaļais ceļš Rīga – Pleskava)LV-RU-006</t>
  </si>
  <si>
    <t>08.29022</t>
  </si>
  <si>
    <t>LAD projekts "Ogresgala Tautas nama laukuma labiekārtošana" Nr.19-04-AL02-A019.2202-000006.</t>
  </si>
  <si>
    <t>08.29023</t>
  </si>
  <si>
    <t>Brīvdabas skatuves būvniecība  un laukuma labiekārtošana Meņģelē</t>
  </si>
  <si>
    <t>08.29024</t>
  </si>
  <si>
    <t xml:space="preserve">LAD projekts  "Rotaļu laukuma izveide Ogres novada Ķeipenes pagastā" </t>
  </si>
  <si>
    <t>08.3101</t>
  </si>
  <si>
    <t>08.3301</t>
  </si>
  <si>
    <t>Reliģisko organizāciju un citu biedrību un nodibinājumu pakalpojumi (Sakrālā mantojuma saglabāšana)</t>
  </si>
  <si>
    <t>Finansējums bērniem, kuri apmeklē privātās pirmsskolas izglītības iestādes</t>
  </si>
  <si>
    <t>Suntažu pamatskola rehabilitācijas centrs</t>
  </si>
  <si>
    <t>09.21912</t>
  </si>
  <si>
    <t>Finansējums bērniem, kuri apmeklē privātās izglītības iestādes</t>
  </si>
  <si>
    <t>09.5107</t>
  </si>
  <si>
    <t>Ogres Mūzikas un mākslas skola</t>
  </si>
  <si>
    <t>09.600139</t>
  </si>
  <si>
    <t>Ēdināšana Ogres skolās</t>
  </si>
  <si>
    <t>Pārējā izglītības vadība (Izglītības pārvalde)</t>
  </si>
  <si>
    <t>09.82002</t>
  </si>
  <si>
    <t>Atbalsts priekšlaicīgas mācību pārtraukšanas samazināšanai (Pumpurs)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</si>
  <si>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</si>
  <si>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</si>
  <si>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</si>
  <si>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</si>
  <si>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</si>
  <si>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</si>
  <si>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</si>
  <si>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</si>
  <si>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</si>
  <si>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</si>
  <si>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</si>
  <si>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</si>
  <si>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09.82011</t>
  </si>
  <si>
    <t>Erasmus+programmas projekts "ALLready a Success to School Life" (Pilnībā gatavs veiksmei skolā) Nr.2018-1-TR01-KA201-059716.Sākumsk.</t>
  </si>
  <si>
    <t>09.82042</t>
  </si>
  <si>
    <t>Erasmus programmas projekts Digitālās kompetences darba tirgū jauniešiem</t>
  </si>
  <si>
    <t>09.82045</t>
  </si>
  <si>
    <t>Ogres 1. vidusskolas ERASMUS programmas 1. pamatdarbības mobilitātes projekts "No vārdiem pie darbiem: mūsdienīgu lietpratību veicinoša skola"</t>
  </si>
  <si>
    <t>09.82046</t>
  </si>
  <si>
    <t xml:space="preserve">Erasmus + programmas projekts Nr.2018-1-EE01-KA229-047133 4 Darbīgās bites (Dzīpariņš) </t>
  </si>
  <si>
    <t>09.82047</t>
  </si>
  <si>
    <t>Projekts "TRĪS.KOPĀ.LABĀK", "Starpnovadu un starpinstitūciju sadarbība jaunatnes politikas īstenošanai vietējā līmenī".</t>
  </si>
  <si>
    <t>09.82048</t>
  </si>
  <si>
    <t>Erasmus programmas projekts Nr.2020-1-LV01-KA101-077352 Skolu mācību mobilitāte (ģimnāzija)</t>
  </si>
  <si>
    <t>09.82049</t>
  </si>
  <si>
    <t>Erasmus programmas projekts Nr.2020-1-IT02-KA229-079156 2, Skolas apmaiņas partnerība (Jaunogres vsk.)</t>
  </si>
  <si>
    <t>09.82050</t>
  </si>
  <si>
    <t>Erasmus programmas projekts Nr.2020-1-PL01-KA229-081399 6 Es izaicinu vecumu ar sparu, (ģimnāzija)</t>
  </si>
  <si>
    <t>09.82051</t>
  </si>
  <si>
    <t>Erasmus programmas projekts Nr.2020-1-TR01-KA229-093575 5 Atklāj patieso dzīvi, (ģimnāzija)</t>
  </si>
  <si>
    <t>09.82052</t>
  </si>
  <si>
    <t>Erasmus programmas projekts Nr.2020-1-FR01-KA229-079905 2, Sagatavo mūs nākotnei, (ģimnāzija)</t>
  </si>
  <si>
    <t>09.82053</t>
  </si>
  <si>
    <t>Erasmus programmas projekts Nr.2020-1-TR01-KA229-093837 4, , (ģimnāzija)</t>
  </si>
  <si>
    <t>09.82054</t>
  </si>
  <si>
    <t>Erasmus programmas projekts Nr.2020-1-LV01-KA101-077362 Skolu mācību mobilitāte (Madlienas)</t>
  </si>
  <si>
    <t>09.82055</t>
  </si>
  <si>
    <t>ES projekts Digitālo mācību un metodisko līdzekļu izstrāde Uzdevumi.lv modernizācijai Nr.8.3.1.2/19/A/005.(1.vsk.)</t>
  </si>
  <si>
    <t>09.82056</t>
  </si>
  <si>
    <t>Jaunu Pašvaldības pakalpojumu sniegšanas veidu attīstība</t>
  </si>
  <si>
    <t>10.70007</t>
  </si>
  <si>
    <t>Sociālo pakalpojumu atbalsta sistēmas pilnveide</t>
  </si>
  <si>
    <t>10.70009</t>
  </si>
  <si>
    <t>Konkurss Vides pieejamības nodrošināšana invalīdiem</t>
  </si>
  <si>
    <t>10.70011</t>
  </si>
  <si>
    <t>Sociālo pakalpojumu atbalsta sistēmas pilnveide projekta (GRT) Nr.9.2.2.2/16/I/001.</t>
  </si>
  <si>
    <t>10.70016</t>
  </si>
  <si>
    <t>ERAF "Pakalpojumu infrastruktūras attīstība deinstitualizācijas plānu īstenošanai"</t>
  </si>
  <si>
    <t>Meņģeles pagasta pārvaldes 20201.g. budžets</t>
  </si>
  <si>
    <t>Krapes pagasta pārvaldes 20201.g. budžets</t>
  </si>
  <si>
    <t xml:space="preserve"> </t>
  </si>
  <si>
    <t>03.6001</t>
  </si>
  <si>
    <t>04.51027</t>
  </si>
  <si>
    <t>Madlienas pag. autoceļa A1 posma no P32 līdz iebrauktuvei uz Madlienas vidusskolu pārbūve</t>
  </si>
  <si>
    <t>04.51028</t>
  </si>
  <si>
    <t>04.51029</t>
  </si>
  <si>
    <t>04.51030</t>
  </si>
  <si>
    <t>04.51031</t>
  </si>
  <si>
    <t>04.51032</t>
  </si>
  <si>
    <t>04.51033</t>
  </si>
  <si>
    <t>04.51034</t>
  </si>
  <si>
    <t>04.51035</t>
  </si>
  <si>
    <t>04.51036</t>
  </si>
  <si>
    <t>04.51037</t>
  </si>
  <si>
    <t>04.51038</t>
  </si>
  <si>
    <t>04.51039</t>
  </si>
  <si>
    <t xml:space="preserve">Čakstes/Strēlnieku prospekta līdz Dārza ielai atjaunošana </t>
  </si>
  <si>
    <t xml:space="preserve">Čakstes prospekta no Mazās Ķentes ielas līdz Skalbju ielai atjaunošana </t>
  </si>
  <si>
    <t xml:space="preserve">Dārza ielas līdz autoceļam A6 atjaunošana </t>
  </si>
  <si>
    <t>Lielvārdes ielas virsmas atjaunošana</t>
  </si>
  <si>
    <t xml:space="preserve">Stirnu ielas virsmas atjaunošana </t>
  </si>
  <si>
    <t>Miera ielas pārbūve</t>
  </si>
  <si>
    <t>Bumbieru ielas, Ogresgalā pārbūve</t>
  </si>
  <si>
    <t>Gājēju celiņa no Ogres trošu tilta līdz gājēju pārejai izbūve</t>
  </si>
  <si>
    <t>Velo trase ar izciļņiem (Pump track)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</si>
  <si>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</si>
  <si>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</si>
  <si>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</si>
  <si>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</si>
  <si>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05.30013</t>
  </si>
  <si>
    <t>Ogres pašvaldības ēkas Skolas ielā 12, Ogrē energoefektivitātes paaugstināšana izmantojot atjaunojamos energoresursus Projekta Nr. 4.2.2.0/20/I/009</t>
  </si>
  <si>
    <t>09.82057</t>
  </si>
  <si>
    <t>09.82058</t>
  </si>
  <si>
    <t>Erasmus programmas projekts Nr.2020-1-TR01-KA229-092959 4, Pusaudžu domasi, (sākumskola)</t>
  </si>
  <si>
    <t>Erasmus programmas projekts Nr.2020-1-DE03-KA229-077592 6, Eiropas ilgtspējīgas un pietiekamības skola, (1.VSK.)</t>
  </si>
  <si>
    <t>Teritoriju attīstība (projektēšanai)</t>
  </si>
  <si>
    <t>Iekārtā (gājēju) tilta pār Ogres upi teritorijā starp J.Čakstes pr. un Ogres ielu Ogrē, būvniecība</t>
  </si>
  <si>
    <t>Rožu ielas, Ogrē pārbūve</t>
  </si>
  <si>
    <t>Parka ielas, Ogrē pārbūve</t>
  </si>
  <si>
    <t>Blaumaņa ielas, Ogrē pārbūve</t>
  </si>
  <si>
    <t>Egļu ielas, Ogrē pārbūve</t>
  </si>
  <si>
    <t>Kadiķu ielas, Ogrē pārbūve</t>
  </si>
  <si>
    <t>Poruka ielas, Ogrē pārbūve</t>
  </si>
  <si>
    <t>Autostāvlaukuma izbūve Mālkalnes prospektā 43, Ogrē</t>
  </si>
  <si>
    <t>Ceriņu ielas, Ogrē pārbūve</t>
  </si>
  <si>
    <t>Sūkņu stacijas (Ogres vārti), Ogrē, Rīgas iela 45 (projektēšana)</t>
  </si>
  <si>
    <t>Jauniešu mājas Ogrē pārbūves (Projektēšana)</t>
  </si>
  <si>
    <t>Ogres bijušās sanatorijas ieejas vestibila atjaunošana</t>
  </si>
  <si>
    <t xml:space="preserve">       Ceļu uzturēšanai, būvniecībai un remontiem</t>
  </si>
  <si>
    <t>28.01.2021. Saistošajiem noteikumiem Nr.2/2021</t>
  </si>
</sst>
</file>

<file path=xl/styles.xml><?xml version="1.0" encoding="utf-8"?>
<styleSheet xmlns="http://schemas.openxmlformats.org/spreadsheetml/2006/main">
  <numFmts count="6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RimTimes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1" applyNumberFormat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7" fillId="20" borderId="6" applyNumberFormat="0" applyAlignment="0" applyProtection="0"/>
    <xf numFmtId="0" fontId="19" fillId="0" borderId="7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7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5" fillId="24" borderId="0" xfId="0" applyFont="1" applyFill="1" applyAlignment="1">
      <alignment horizontal="center"/>
    </xf>
    <xf numFmtId="3" fontId="25" fillId="24" borderId="10" xfId="0" applyNumberFormat="1" applyFont="1" applyFill="1" applyBorder="1" applyAlignment="1">
      <alignment horizontal="center" wrapText="1"/>
    </xf>
    <xf numFmtId="3" fontId="22" fillId="24" borderId="11" xfId="0" applyNumberFormat="1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22" fillId="24" borderId="13" xfId="0" applyNumberFormat="1" applyFont="1" applyFill="1" applyBorder="1" applyAlignment="1">
      <alignment/>
    </xf>
    <xf numFmtId="3" fontId="22" fillId="24" borderId="14" xfId="0" applyNumberFormat="1" applyFont="1" applyFill="1" applyBorder="1" applyAlignment="1">
      <alignment/>
    </xf>
    <xf numFmtId="3" fontId="22" fillId="24" borderId="15" xfId="0" applyNumberFormat="1" applyFont="1" applyFill="1" applyBorder="1" applyAlignment="1">
      <alignment/>
    </xf>
    <xf numFmtId="3" fontId="24" fillId="24" borderId="16" xfId="0" applyNumberFormat="1" applyFont="1" applyFill="1" applyBorder="1" applyAlignment="1">
      <alignment/>
    </xf>
    <xf numFmtId="3" fontId="22" fillId="24" borderId="17" xfId="0" applyNumberFormat="1" applyFont="1" applyFill="1" applyBorder="1" applyAlignment="1">
      <alignment/>
    </xf>
    <xf numFmtId="3" fontId="22" fillId="24" borderId="18" xfId="0" applyNumberFormat="1" applyFont="1" applyFill="1" applyBorder="1" applyAlignment="1">
      <alignment/>
    </xf>
    <xf numFmtId="0" fontId="21" fillId="24" borderId="14" xfId="128" applyFont="1" applyFill="1" applyBorder="1" applyAlignment="1">
      <alignment horizontal="left" wrapText="1"/>
      <protection/>
    </xf>
    <xf numFmtId="3" fontId="22" fillId="24" borderId="14" xfId="136" applyNumberFormat="1" applyFont="1" applyFill="1" applyBorder="1" applyAlignment="1">
      <alignment horizontal="left" wrapText="1"/>
      <protection/>
    </xf>
    <xf numFmtId="0" fontId="22" fillId="24" borderId="14" xfId="0" applyFont="1" applyFill="1" applyBorder="1" applyAlignment="1">
      <alignment horizontal="left" wrapText="1"/>
    </xf>
    <xf numFmtId="0" fontId="22" fillId="24" borderId="14" xfId="128" applyFont="1" applyFill="1" applyBorder="1" applyAlignment="1">
      <alignment horizontal="left" wrapText="1"/>
      <protection/>
    </xf>
    <xf numFmtId="3" fontId="22" fillId="24" borderId="19" xfId="0" applyNumberFormat="1" applyFont="1" applyFill="1" applyBorder="1" applyAlignment="1">
      <alignment/>
    </xf>
    <xf numFmtId="3" fontId="22" fillId="24" borderId="14" xfId="0" applyNumberFormat="1" applyFont="1" applyFill="1" applyBorder="1" applyAlignment="1" applyProtection="1">
      <alignment horizontal="center"/>
      <protection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 wrapText="1"/>
    </xf>
    <xf numFmtId="1" fontId="22" fillId="24" borderId="0" xfId="0" applyNumberFormat="1" applyFont="1" applyFill="1" applyAlignment="1">
      <alignment/>
    </xf>
    <xf numFmtId="0" fontId="22" fillId="24" borderId="0" xfId="132" applyFont="1" applyFill="1" applyAlignment="1">
      <alignment horizontal="left"/>
      <protection/>
    </xf>
    <xf numFmtId="0" fontId="22" fillId="24" borderId="0" xfId="0" applyFont="1" applyFill="1" applyAlignment="1">
      <alignment horizontal="right"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Border="1" applyAlignment="1">
      <alignment/>
    </xf>
    <xf numFmtId="0" fontId="21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 applyProtection="1">
      <alignment horizontal="center" vertical="center" wrapText="1"/>
      <protection/>
    </xf>
    <xf numFmtId="0" fontId="22" fillId="24" borderId="21" xfId="0" applyFont="1" applyFill="1" applyBorder="1" applyAlignment="1" applyProtection="1">
      <alignment horizontal="center" vertical="center" wrapText="1"/>
      <protection/>
    </xf>
    <xf numFmtId="3" fontId="22" fillId="24" borderId="21" xfId="0" applyNumberFormat="1" applyFont="1" applyFill="1" applyBorder="1" applyAlignment="1" applyProtection="1">
      <alignment horizontal="center" vertical="center" wrapText="1"/>
      <protection/>
    </xf>
    <xf numFmtId="0" fontId="22" fillId="24" borderId="22" xfId="130" applyFont="1" applyFill="1" applyBorder="1" applyAlignment="1">
      <alignment horizontal="center" vertical="center" wrapText="1"/>
      <protection/>
    </xf>
    <xf numFmtId="0" fontId="22" fillId="24" borderId="21" xfId="131" applyFont="1" applyFill="1" applyBorder="1" applyAlignment="1">
      <alignment vertical="center" wrapText="1"/>
      <protection/>
    </xf>
    <xf numFmtId="0" fontId="22" fillId="24" borderId="23" xfId="131" applyFont="1" applyFill="1" applyBorder="1" applyAlignment="1">
      <alignment vertical="center" wrapText="1"/>
      <protection/>
    </xf>
    <xf numFmtId="0" fontId="24" fillId="24" borderId="24" xfId="127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Alignment="1">
      <alignment wrapText="1"/>
    </xf>
    <xf numFmtId="3" fontId="24" fillId="24" borderId="20" xfId="0" applyNumberFormat="1" applyFont="1" applyFill="1" applyBorder="1" applyAlignment="1">
      <alignment horizontal="right"/>
    </xf>
    <xf numFmtId="3" fontId="24" fillId="24" borderId="21" xfId="0" applyNumberFormat="1" applyFont="1" applyFill="1" applyBorder="1" applyAlignment="1">
      <alignment wrapText="1"/>
    </xf>
    <xf numFmtId="3" fontId="24" fillId="24" borderId="21" xfId="0" applyNumberFormat="1" applyFont="1" applyFill="1" applyBorder="1" applyAlignment="1">
      <alignment/>
    </xf>
    <xf numFmtId="3" fontId="24" fillId="24" borderId="23" xfId="0" applyNumberFormat="1" applyFont="1" applyFill="1" applyBorder="1" applyAlignment="1">
      <alignment/>
    </xf>
    <xf numFmtId="3" fontId="24" fillId="24" borderId="24" xfId="0" applyNumberFormat="1" applyFont="1" applyFill="1" applyBorder="1" applyAlignment="1">
      <alignment/>
    </xf>
    <xf numFmtId="186" fontId="22" fillId="24" borderId="0" xfId="0" applyNumberFormat="1" applyFont="1" applyFill="1" applyAlignment="1">
      <alignment/>
    </xf>
    <xf numFmtId="3" fontId="22" fillId="24" borderId="25" xfId="0" applyNumberFormat="1" applyFont="1" applyFill="1" applyBorder="1" applyAlignment="1">
      <alignment horizontal="left"/>
    </xf>
    <xf numFmtId="3" fontId="22" fillId="24" borderId="26" xfId="0" applyNumberFormat="1" applyFont="1" applyFill="1" applyBorder="1" applyAlignment="1">
      <alignment wrapText="1"/>
    </xf>
    <xf numFmtId="3" fontId="22" fillId="24" borderId="26" xfId="0" applyNumberFormat="1" applyFont="1" applyFill="1" applyBorder="1" applyAlignment="1">
      <alignment/>
    </xf>
    <xf numFmtId="3" fontId="24" fillId="24" borderId="27" xfId="0" applyNumberFormat="1" applyFont="1" applyFill="1" applyBorder="1" applyAlignment="1">
      <alignment/>
    </xf>
    <xf numFmtId="3" fontId="22" fillId="24" borderId="28" xfId="0" applyNumberFormat="1" applyFont="1" applyFill="1" applyBorder="1" applyAlignment="1">
      <alignment horizontal="right"/>
    </xf>
    <xf numFmtId="3" fontId="22" fillId="24" borderId="14" xfId="0" applyNumberFormat="1" applyFont="1" applyFill="1" applyBorder="1" applyAlignment="1">
      <alignment wrapText="1"/>
    </xf>
    <xf numFmtId="3" fontId="22" fillId="24" borderId="28" xfId="0" applyNumberFormat="1" applyFont="1" applyFill="1" applyBorder="1" applyAlignment="1">
      <alignment horizontal="left"/>
    </xf>
    <xf numFmtId="1" fontId="22" fillId="24" borderId="11" xfId="0" applyNumberFormat="1" applyFont="1" applyFill="1" applyBorder="1" applyAlignment="1">
      <alignment/>
    </xf>
    <xf numFmtId="1" fontId="22" fillId="24" borderId="14" xfId="0" applyNumberFormat="1" applyFont="1" applyFill="1" applyBorder="1" applyAlignment="1">
      <alignment/>
    </xf>
    <xf numFmtId="3" fontId="22" fillId="24" borderId="29" xfId="0" applyNumberFormat="1" applyFont="1" applyFill="1" applyBorder="1" applyAlignment="1">
      <alignment/>
    </xf>
    <xf numFmtId="0" fontId="22" fillId="24" borderId="30" xfId="0" applyFont="1" applyFill="1" applyBorder="1" applyAlignment="1">
      <alignment horizontal="left"/>
    </xf>
    <xf numFmtId="0" fontId="22" fillId="24" borderId="13" xfId="0" applyFont="1" applyFill="1" applyBorder="1" applyAlignment="1">
      <alignment wrapText="1"/>
    </xf>
    <xf numFmtId="3" fontId="22" fillId="24" borderId="31" xfId="0" applyNumberFormat="1" applyFont="1" applyFill="1" applyBorder="1" applyAlignment="1">
      <alignment/>
    </xf>
    <xf numFmtId="3" fontId="26" fillId="24" borderId="13" xfId="0" applyNumberFormat="1" applyFont="1" applyFill="1" applyBorder="1" applyAlignment="1">
      <alignment/>
    </xf>
    <xf numFmtId="3" fontId="22" fillId="24" borderId="30" xfId="0" applyNumberFormat="1" applyFont="1" applyFill="1" applyBorder="1" applyAlignment="1">
      <alignment horizontal="left"/>
    </xf>
    <xf numFmtId="3" fontId="22" fillId="24" borderId="13" xfId="0" applyNumberFormat="1" applyFont="1" applyFill="1" applyBorder="1" applyAlignment="1">
      <alignment wrapText="1"/>
    </xf>
    <xf numFmtId="3" fontId="22" fillId="24" borderId="16" xfId="0" applyNumberFormat="1" applyFont="1" applyFill="1" applyBorder="1" applyAlignment="1">
      <alignment/>
    </xf>
    <xf numFmtId="3" fontId="24" fillId="24" borderId="32" xfId="0" applyNumberFormat="1" applyFont="1" applyFill="1" applyBorder="1" applyAlignment="1">
      <alignment/>
    </xf>
    <xf numFmtId="0" fontId="22" fillId="24" borderId="25" xfId="0" applyFont="1" applyFill="1" applyBorder="1" applyAlignment="1">
      <alignment horizontal="left"/>
    </xf>
    <xf numFmtId="0" fontId="24" fillId="24" borderId="19" xfId="0" applyFont="1" applyFill="1" applyBorder="1" applyAlignment="1">
      <alignment wrapText="1"/>
    </xf>
    <xf numFmtId="3" fontId="24" fillId="24" borderId="19" xfId="0" applyNumberFormat="1" applyFont="1" applyFill="1" applyBorder="1" applyAlignment="1">
      <alignment/>
    </xf>
    <xf numFmtId="3" fontId="24" fillId="24" borderId="33" xfId="0" applyNumberFormat="1" applyFont="1" applyFill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24" borderId="35" xfId="0" applyNumberFormat="1" applyFont="1" applyFill="1" applyBorder="1" applyAlignment="1">
      <alignment/>
    </xf>
    <xf numFmtId="3" fontId="22" fillId="24" borderId="36" xfId="0" applyNumberFormat="1" applyFont="1" applyFill="1" applyBorder="1" applyAlignment="1">
      <alignment/>
    </xf>
    <xf numFmtId="3" fontId="24" fillId="24" borderId="37" xfId="0" applyNumberFormat="1" applyFont="1" applyFill="1" applyBorder="1" applyAlignment="1">
      <alignment horizontal="left"/>
    </xf>
    <xf numFmtId="3" fontId="24" fillId="24" borderId="0" xfId="0" applyNumberFormat="1" applyFont="1" applyFill="1" applyBorder="1" applyAlignment="1">
      <alignment wrapText="1"/>
    </xf>
    <xf numFmtId="3" fontId="22" fillId="24" borderId="38" xfId="0" applyNumberFormat="1" applyFont="1" applyFill="1" applyBorder="1" applyAlignment="1">
      <alignment/>
    </xf>
    <xf numFmtId="3" fontId="24" fillId="24" borderId="20" xfId="0" applyNumberFormat="1" applyFont="1" applyFill="1" applyBorder="1" applyAlignment="1">
      <alignment horizontal="left"/>
    </xf>
    <xf numFmtId="3" fontId="22" fillId="24" borderId="39" xfId="0" applyNumberFormat="1" applyFont="1" applyFill="1" applyBorder="1" applyAlignment="1">
      <alignment horizontal="left"/>
    </xf>
    <xf numFmtId="3" fontId="22" fillId="24" borderId="19" xfId="0" applyNumberFormat="1" applyFont="1" applyFill="1" applyBorder="1" applyAlignment="1">
      <alignment wrapText="1"/>
    </xf>
    <xf numFmtId="3" fontId="22" fillId="24" borderId="40" xfId="0" applyNumberFormat="1" applyFont="1" applyFill="1" applyBorder="1" applyAlignment="1">
      <alignment/>
    </xf>
    <xf numFmtId="3" fontId="22" fillId="24" borderId="41" xfId="0" applyNumberFormat="1" applyFont="1" applyFill="1" applyBorder="1" applyAlignment="1">
      <alignment/>
    </xf>
    <xf numFmtId="3" fontId="22" fillId="24" borderId="42" xfId="0" applyNumberFormat="1" applyFont="1" applyFill="1" applyBorder="1" applyAlignment="1">
      <alignment/>
    </xf>
    <xf numFmtId="3" fontId="24" fillId="24" borderId="25" xfId="0" applyNumberFormat="1" applyFont="1" applyFill="1" applyBorder="1" applyAlignment="1">
      <alignment horizontal="left"/>
    </xf>
    <xf numFmtId="3" fontId="23" fillId="24" borderId="0" xfId="0" applyNumberFormat="1" applyFont="1" applyFill="1" applyAlignment="1">
      <alignment wrapText="1"/>
    </xf>
    <xf numFmtId="3" fontId="24" fillId="24" borderId="26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 horizontal="left"/>
    </xf>
    <xf numFmtId="3" fontId="24" fillId="24" borderId="14" xfId="0" applyNumberFormat="1" applyFont="1" applyFill="1" applyBorder="1" applyAlignment="1">
      <alignment wrapText="1"/>
    </xf>
    <xf numFmtId="3" fontId="24" fillId="24" borderId="14" xfId="0" applyNumberFormat="1" applyFont="1" applyFill="1" applyBorder="1" applyAlignment="1">
      <alignment/>
    </xf>
    <xf numFmtId="3" fontId="24" fillId="24" borderId="36" xfId="0" applyNumberFormat="1" applyFont="1" applyFill="1" applyBorder="1" applyAlignment="1">
      <alignment/>
    </xf>
    <xf numFmtId="3" fontId="24" fillId="24" borderId="11" xfId="0" applyNumberFormat="1" applyFont="1" applyFill="1" applyBorder="1" applyAlignment="1">
      <alignment/>
    </xf>
    <xf numFmtId="3" fontId="24" fillId="24" borderId="15" xfId="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3" fontId="26" fillId="24" borderId="11" xfId="0" applyNumberFormat="1" applyFont="1" applyFill="1" applyBorder="1" applyAlignment="1">
      <alignment/>
    </xf>
    <xf numFmtId="3" fontId="24" fillId="24" borderId="38" xfId="0" applyNumberFormat="1" applyFont="1" applyFill="1" applyBorder="1" applyAlignment="1">
      <alignment wrapText="1"/>
    </xf>
    <xf numFmtId="3" fontId="26" fillId="24" borderId="38" xfId="0" applyNumberFormat="1" applyFont="1" applyFill="1" applyBorder="1" applyAlignment="1">
      <alignment/>
    </xf>
    <xf numFmtId="3" fontId="22" fillId="24" borderId="43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22" fillId="24" borderId="20" xfId="0" applyNumberFormat="1" applyFont="1" applyFill="1" applyBorder="1" applyAlignment="1">
      <alignment horizontal="right"/>
    </xf>
    <xf numFmtId="3" fontId="24" fillId="24" borderId="21" xfId="0" applyNumberFormat="1" applyFont="1" applyFill="1" applyBorder="1" applyAlignment="1">
      <alignment horizontal="right" wrapText="1"/>
    </xf>
    <xf numFmtId="3" fontId="24" fillId="24" borderId="21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2" fillId="24" borderId="26" xfId="0" applyNumberFormat="1" applyFont="1" applyFill="1" applyBorder="1" applyAlignment="1" applyProtection="1">
      <alignment/>
      <protection/>
    </xf>
    <xf numFmtId="3" fontId="22" fillId="24" borderId="26" xfId="0" applyNumberFormat="1" applyFont="1" applyFill="1" applyBorder="1" applyAlignment="1" applyProtection="1">
      <alignment horizontal="left" wrapText="1"/>
      <protection/>
    </xf>
    <xf numFmtId="3" fontId="24" fillId="24" borderId="14" xfId="0" applyNumberFormat="1" applyFont="1" applyFill="1" applyBorder="1" applyAlignment="1" applyProtection="1">
      <alignment/>
      <protection/>
    </xf>
    <xf numFmtId="3" fontId="24" fillId="24" borderId="14" xfId="0" applyNumberFormat="1" applyFont="1" applyFill="1" applyBorder="1" applyAlignment="1" applyProtection="1">
      <alignment horizontal="left" wrapText="1"/>
      <protection/>
    </xf>
    <xf numFmtId="3" fontId="24" fillId="24" borderId="14" xfId="0" applyNumberFormat="1" applyFont="1" applyFill="1" applyBorder="1" applyAlignment="1" applyProtection="1">
      <alignment horizontal="center"/>
      <protection/>
    </xf>
    <xf numFmtId="3" fontId="24" fillId="24" borderId="15" xfId="0" applyNumberFormat="1" applyFont="1" applyFill="1" applyBorder="1" applyAlignment="1" applyProtection="1">
      <alignment/>
      <protection/>
    </xf>
    <xf numFmtId="3" fontId="22" fillId="24" borderId="14" xfId="0" applyNumberFormat="1" applyFont="1" applyFill="1" applyBorder="1" applyAlignment="1" applyProtection="1">
      <alignment/>
      <protection/>
    </xf>
    <xf numFmtId="3" fontId="22" fillId="24" borderId="15" xfId="0" applyNumberFormat="1" applyFont="1" applyFill="1" applyBorder="1" applyAlignment="1" applyProtection="1">
      <alignment horizontal="left" wrapText="1"/>
      <protection/>
    </xf>
    <xf numFmtId="0" fontId="22" fillId="24" borderId="0" xfId="0" applyNumberFormat="1" applyFont="1" applyFill="1" applyAlignment="1">
      <alignment vertical="center"/>
    </xf>
    <xf numFmtId="3" fontId="22" fillId="24" borderId="0" xfId="0" applyNumberFormat="1" applyFont="1" applyFill="1" applyAlignment="1">
      <alignment/>
    </xf>
    <xf numFmtId="3" fontId="24" fillId="24" borderId="14" xfId="0" applyNumberFormat="1" applyFont="1" applyFill="1" applyBorder="1" applyAlignment="1" applyProtection="1">
      <alignment horizontal="right"/>
      <protection/>
    </xf>
    <xf numFmtId="3" fontId="24" fillId="24" borderId="0" xfId="0" applyNumberFormat="1" applyFont="1" applyFill="1" applyBorder="1" applyAlignment="1" applyProtection="1">
      <alignment/>
      <protection/>
    </xf>
    <xf numFmtId="3" fontId="22" fillId="24" borderId="0" xfId="0" applyNumberFormat="1" applyFont="1" applyFill="1" applyBorder="1" applyAlignment="1" applyProtection="1">
      <alignment horizontal="left" wrapText="1"/>
      <protection/>
    </xf>
    <xf numFmtId="3" fontId="24" fillId="24" borderId="0" xfId="0" applyNumberFormat="1" applyFont="1" applyFill="1" applyBorder="1" applyAlignment="1" applyProtection="1">
      <alignment horizontal="center"/>
      <protection/>
    </xf>
    <xf numFmtId="3" fontId="24" fillId="24" borderId="0" xfId="0" applyNumberFormat="1" applyFont="1" applyFill="1" applyBorder="1" applyAlignment="1">
      <alignment/>
    </xf>
    <xf numFmtId="0" fontId="27" fillId="24" borderId="0" xfId="0" applyNumberFormat="1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3" fontId="24" fillId="24" borderId="0" xfId="0" applyNumberFormat="1" applyFont="1" applyFill="1" applyAlignment="1">
      <alignment/>
    </xf>
    <xf numFmtId="3" fontId="22" fillId="24" borderId="0" xfId="132" applyNumberFormat="1" applyFont="1" applyFill="1" applyAlignment="1">
      <alignment horizontal="right"/>
      <protection/>
    </xf>
    <xf numFmtId="3" fontId="22" fillId="24" borderId="0" xfId="132" applyNumberFormat="1" applyFont="1" applyFill="1" applyAlignment="1">
      <alignment horizontal="left"/>
      <protection/>
    </xf>
    <xf numFmtId="3" fontId="22" fillId="24" borderId="0" xfId="0" applyNumberFormat="1" applyFont="1" applyFill="1" applyAlignment="1">
      <alignment horizontal="right"/>
    </xf>
    <xf numFmtId="3" fontId="22" fillId="24" borderId="0" xfId="0" applyNumberFormat="1" applyFont="1" applyFill="1" applyAlignment="1">
      <alignment horizontal="left"/>
    </xf>
    <xf numFmtId="3" fontId="24" fillId="24" borderId="0" xfId="0" applyNumberFormat="1" applyFont="1" applyFill="1" applyBorder="1" applyAlignment="1">
      <alignment horizontal="right"/>
    </xf>
    <xf numFmtId="3" fontId="21" fillId="24" borderId="20" xfId="0" applyNumberFormat="1" applyFont="1" applyFill="1" applyBorder="1" applyAlignment="1">
      <alignment horizontal="center" vertical="center"/>
    </xf>
    <xf numFmtId="3" fontId="21" fillId="24" borderId="21" xfId="0" applyNumberFormat="1" applyFont="1" applyFill="1" applyBorder="1" applyAlignment="1" applyProtection="1">
      <alignment horizontal="center" vertical="center" wrapText="1"/>
      <protection/>
    </xf>
    <xf numFmtId="3" fontId="22" fillId="24" borderId="22" xfId="130" applyNumberFormat="1" applyFont="1" applyFill="1" applyBorder="1" applyAlignment="1">
      <alignment horizontal="center" vertical="center" wrapText="1"/>
      <protection/>
    </xf>
    <xf numFmtId="3" fontId="22" fillId="24" borderId="21" xfId="131" applyNumberFormat="1" applyFont="1" applyFill="1" applyBorder="1" applyAlignment="1">
      <alignment vertical="center" wrapText="1"/>
      <protection/>
    </xf>
    <xf numFmtId="3" fontId="22" fillId="24" borderId="23" xfId="131" applyNumberFormat="1" applyFont="1" applyFill="1" applyBorder="1" applyAlignment="1">
      <alignment vertical="center" wrapText="1"/>
      <protection/>
    </xf>
    <xf numFmtId="3" fontId="24" fillId="24" borderId="24" xfId="127" applyNumberFormat="1" applyFont="1" applyFill="1" applyBorder="1" applyAlignment="1" applyProtection="1">
      <alignment horizontal="center" vertical="center" wrapText="1"/>
      <protection/>
    </xf>
    <xf numFmtId="3" fontId="24" fillId="24" borderId="20" xfId="0" applyNumberFormat="1" applyFont="1" applyFill="1" applyBorder="1" applyAlignment="1">
      <alignment/>
    </xf>
    <xf numFmtId="3" fontId="24" fillId="24" borderId="23" xfId="0" applyNumberFormat="1" applyFont="1" applyFill="1" applyBorder="1" applyAlignment="1">
      <alignment horizontal="right"/>
    </xf>
    <xf numFmtId="3" fontId="24" fillId="24" borderId="25" xfId="0" applyNumberFormat="1" applyFont="1" applyFill="1" applyBorder="1" applyAlignment="1">
      <alignment horizontal="right"/>
    </xf>
    <xf numFmtId="3" fontId="24" fillId="24" borderId="26" xfId="0" applyNumberFormat="1" applyFont="1" applyFill="1" applyBorder="1" applyAlignment="1">
      <alignment wrapText="1"/>
    </xf>
    <xf numFmtId="3" fontId="24" fillId="24" borderId="17" xfId="0" applyNumberFormat="1" applyFont="1" applyFill="1" applyBorder="1" applyAlignment="1">
      <alignment/>
    </xf>
    <xf numFmtId="3" fontId="24" fillId="24" borderId="44" xfId="0" applyNumberFormat="1" applyFont="1" applyFill="1" applyBorder="1" applyAlignment="1">
      <alignment/>
    </xf>
    <xf numFmtId="3" fontId="24" fillId="24" borderId="35" xfId="0" applyNumberFormat="1" applyFont="1" applyFill="1" applyBorder="1" applyAlignment="1">
      <alignment/>
    </xf>
    <xf numFmtId="3" fontId="24" fillId="24" borderId="45" xfId="0" applyNumberFormat="1" applyFont="1" applyFill="1" applyBorder="1" applyAlignment="1">
      <alignment/>
    </xf>
    <xf numFmtId="49" fontId="24" fillId="24" borderId="25" xfId="0" applyNumberFormat="1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 horizontal="right"/>
    </xf>
    <xf numFmtId="3" fontId="24" fillId="24" borderId="46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 horizontal="left" wrapText="1"/>
    </xf>
    <xf numFmtId="3" fontId="22" fillId="24" borderId="28" xfId="0" applyNumberFormat="1" applyFont="1" applyFill="1" applyBorder="1" applyAlignment="1">
      <alignment horizontal="right" wrapText="1"/>
    </xf>
    <xf numFmtId="3" fontId="24" fillId="24" borderId="30" xfId="0" applyNumberFormat="1" applyFont="1" applyFill="1" applyBorder="1" applyAlignment="1">
      <alignment horizontal="right"/>
    </xf>
    <xf numFmtId="3" fontId="24" fillId="24" borderId="13" xfId="0" applyNumberFormat="1" applyFont="1" applyFill="1" applyBorder="1" applyAlignment="1">
      <alignment wrapText="1"/>
    </xf>
    <xf numFmtId="3" fontId="24" fillId="24" borderId="13" xfId="0" applyNumberFormat="1" applyFont="1" applyFill="1" applyBorder="1" applyAlignment="1">
      <alignment/>
    </xf>
    <xf numFmtId="3" fontId="24" fillId="24" borderId="41" xfId="0" applyNumberFormat="1" applyFont="1" applyFill="1" applyBorder="1" applyAlignment="1">
      <alignment/>
    </xf>
    <xf numFmtId="3" fontId="24" fillId="24" borderId="47" xfId="0" applyNumberFormat="1" applyFont="1" applyFill="1" applyBorder="1" applyAlignment="1">
      <alignment/>
    </xf>
    <xf numFmtId="3" fontId="24" fillId="24" borderId="11" xfId="0" applyNumberFormat="1" applyFont="1" applyFill="1" applyBorder="1" applyAlignment="1">
      <alignment horizontal="right"/>
    </xf>
    <xf numFmtId="3" fontId="24" fillId="24" borderId="48" xfId="0" applyNumberFormat="1" applyFont="1" applyFill="1" applyBorder="1" applyAlignment="1">
      <alignment/>
    </xf>
    <xf numFmtId="3" fontId="22" fillId="24" borderId="43" xfId="0" applyNumberFormat="1" applyFont="1" applyFill="1" applyBorder="1" applyAlignment="1">
      <alignment horizontal="right"/>
    </xf>
    <xf numFmtId="3" fontId="22" fillId="24" borderId="13" xfId="128" applyNumberFormat="1" applyFont="1" applyFill="1" applyBorder="1" applyAlignment="1">
      <alignment horizontal="left" wrapText="1"/>
      <protection/>
    </xf>
    <xf numFmtId="49" fontId="24" fillId="24" borderId="14" xfId="0" applyNumberFormat="1" applyFont="1" applyFill="1" applyBorder="1" applyAlignment="1">
      <alignment horizontal="right"/>
    </xf>
    <xf numFmtId="3" fontId="24" fillId="24" borderId="38" xfId="136" applyNumberFormat="1" applyFont="1" applyFill="1" applyBorder="1" applyAlignment="1">
      <alignment horizontal="right"/>
      <protection/>
    </xf>
    <xf numFmtId="3" fontId="24" fillId="24" borderId="38" xfId="136" applyNumberFormat="1" applyFont="1" applyFill="1" applyBorder="1" applyAlignment="1">
      <alignment wrapText="1"/>
      <protection/>
    </xf>
    <xf numFmtId="3" fontId="24" fillId="24" borderId="18" xfId="0" applyNumberFormat="1" applyFont="1" applyFill="1" applyBorder="1" applyAlignment="1">
      <alignment/>
    </xf>
    <xf numFmtId="3" fontId="22" fillId="24" borderId="25" xfId="0" applyNumberFormat="1" applyFont="1" applyFill="1" applyBorder="1" applyAlignment="1">
      <alignment horizontal="right"/>
    </xf>
    <xf numFmtId="3" fontId="22" fillId="24" borderId="32" xfId="0" applyNumberFormat="1" applyFont="1" applyFill="1" applyBorder="1" applyAlignment="1">
      <alignment/>
    </xf>
    <xf numFmtId="3" fontId="22" fillId="24" borderId="14" xfId="0" applyNumberFormat="1" applyFont="1" applyFill="1" applyBorder="1" applyAlignment="1">
      <alignment horizontal="left" wrapText="1"/>
    </xf>
    <xf numFmtId="3" fontId="22" fillId="24" borderId="46" xfId="0" applyNumberFormat="1" applyFont="1" applyFill="1" applyBorder="1" applyAlignment="1">
      <alignment/>
    </xf>
    <xf numFmtId="3" fontId="22" fillId="24" borderId="14" xfId="0" applyNumberFormat="1" applyFont="1" applyFill="1" applyBorder="1" applyAlignment="1">
      <alignment horizontal="left"/>
    </xf>
    <xf numFmtId="49" fontId="22" fillId="24" borderId="25" xfId="136" applyNumberFormat="1" applyFont="1" applyFill="1" applyBorder="1" applyAlignment="1">
      <alignment horizontal="right"/>
      <protection/>
    </xf>
    <xf numFmtId="0" fontId="22" fillId="24" borderId="16" xfId="128" applyFont="1" applyFill="1" applyBorder="1" applyAlignment="1">
      <alignment horizontal="left" wrapText="1"/>
      <protection/>
    </xf>
    <xf numFmtId="0" fontId="22" fillId="24" borderId="13" xfId="136" applyFont="1" applyFill="1" applyBorder="1" applyAlignment="1">
      <alignment horizontal="left" wrapText="1"/>
      <protection/>
    </xf>
    <xf numFmtId="3" fontId="22" fillId="24" borderId="14" xfId="128" applyNumberFormat="1" applyFont="1" applyFill="1" applyBorder="1" applyAlignment="1">
      <alignment horizontal="left" wrapText="1"/>
      <protection/>
    </xf>
    <xf numFmtId="49" fontId="22" fillId="24" borderId="28" xfId="0" applyNumberFormat="1" applyFont="1" applyFill="1" applyBorder="1" applyAlignment="1">
      <alignment horizontal="right"/>
    </xf>
    <xf numFmtId="0" fontId="22" fillId="24" borderId="26" xfId="128" applyFont="1" applyFill="1" applyBorder="1" applyAlignment="1">
      <alignment horizontal="left" wrapText="1"/>
      <protection/>
    </xf>
    <xf numFmtId="3" fontId="22" fillId="24" borderId="26" xfId="0" applyNumberFormat="1" applyFont="1" applyFill="1" applyBorder="1" applyAlignment="1">
      <alignment horizontal="left" wrapText="1"/>
    </xf>
    <xf numFmtId="49" fontId="22" fillId="24" borderId="28" xfId="136" applyNumberFormat="1" applyFont="1" applyFill="1" applyBorder="1" applyAlignment="1">
      <alignment horizontal="right"/>
      <protection/>
    </xf>
    <xf numFmtId="0" fontId="22" fillId="24" borderId="13" xfId="0" applyFont="1" applyFill="1" applyBorder="1" applyAlignment="1">
      <alignment horizontal="left" wrapText="1"/>
    </xf>
    <xf numFmtId="3" fontId="24" fillId="24" borderId="26" xfId="0" applyNumberFormat="1" applyFont="1" applyFill="1" applyBorder="1" applyAlignment="1">
      <alignment horizontal="left" wrapText="1"/>
    </xf>
    <xf numFmtId="3" fontId="24" fillId="24" borderId="37" xfId="136" applyNumberFormat="1" applyFont="1" applyFill="1" applyBorder="1" applyAlignment="1">
      <alignment horizontal="right"/>
      <protection/>
    </xf>
    <xf numFmtId="3" fontId="24" fillId="24" borderId="21" xfId="0" applyNumberFormat="1" applyFont="1" applyFill="1" applyBorder="1" applyAlignment="1">
      <alignment horizontal="left" wrapText="1"/>
    </xf>
    <xf numFmtId="3" fontId="24" fillId="24" borderId="49" xfId="0" applyNumberFormat="1" applyFont="1" applyFill="1" applyBorder="1" applyAlignment="1">
      <alignment/>
    </xf>
    <xf numFmtId="3" fontId="26" fillId="24" borderId="14" xfId="0" applyNumberFormat="1" applyFont="1" applyFill="1" applyBorder="1" applyAlignment="1">
      <alignment/>
    </xf>
    <xf numFmtId="3" fontId="22" fillId="24" borderId="30" xfId="0" applyNumberFormat="1" applyFont="1" applyFill="1" applyBorder="1" applyAlignment="1">
      <alignment horizontal="right"/>
    </xf>
    <xf numFmtId="3" fontId="22" fillId="24" borderId="26" xfId="128" applyNumberFormat="1" applyFont="1" applyFill="1" applyBorder="1" applyAlignment="1">
      <alignment horizontal="left" wrapText="1"/>
      <protection/>
    </xf>
    <xf numFmtId="3" fontId="22" fillId="24" borderId="37" xfId="0" applyNumberFormat="1" applyFont="1" applyFill="1" applyBorder="1" applyAlignment="1">
      <alignment horizontal="right"/>
    </xf>
    <xf numFmtId="0" fontId="22" fillId="24" borderId="26" xfId="136" applyFont="1" applyFill="1" applyBorder="1" applyAlignment="1">
      <alignment horizontal="left" wrapText="1"/>
      <protection/>
    </xf>
    <xf numFmtId="3" fontId="22" fillId="24" borderId="11" xfId="0" applyNumberFormat="1" applyFont="1" applyFill="1" applyBorder="1" applyAlignment="1">
      <alignment horizontal="left" wrapText="1"/>
    </xf>
    <xf numFmtId="3" fontId="22" fillId="24" borderId="15" xfId="0" applyNumberFormat="1" applyFont="1" applyFill="1" applyBorder="1" applyAlignment="1">
      <alignment horizontal="left" wrapText="1"/>
    </xf>
    <xf numFmtId="3" fontId="22" fillId="24" borderId="17" xfId="0" applyNumberFormat="1" applyFont="1" applyFill="1" applyBorder="1" applyAlignment="1">
      <alignment horizontal="left" wrapText="1"/>
    </xf>
    <xf numFmtId="3" fontId="22" fillId="24" borderId="48" xfId="0" applyNumberFormat="1" applyFont="1" applyFill="1" applyBorder="1" applyAlignment="1">
      <alignment/>
    </xf>
    <xf numFmtId="0" fontId="22" fillId="24" borderId="15" xfId="128" applyFont="1" applyFill="1" applyBorder="1" applyAlignment="1">
      <alignment horizontal="left" wrapText="1"/>
      <protection/>
    </xf>
    <xf numFmtId="49" fontId="22" fillId="24" borderId="37" xfId="136" applyNumberFormat="1" applyFont="1" applyFill="1" applyBorder="1" applyAlignment="1">
      <alignment horizontal="right"/>
      <protection/>
    </xf>
    <xf numFmtId="3" fontId="22" fillId="24" borderId="50" xfId="0" applyNumberFormat="1" applyFont="1" applyFill="1" applyBorder="1" applyAlignment="1">
      <alignment/>
    </xf>
    <xf numFmtId="0" fontId="22" fillId="24" borderId="14" xfId="136" applyFont="1" applyFill="1" applyBorder="1" applyAlignment="1">
      <alignment wrapText="1"/>
      <protection/>
    </xf>
    <xf numFmtId="0" fontId="22" fillId="24" borderId="38" xfId="136" applyFont="1" applyFill="1" applyBorder="1" applyAlignment="1">
      <alignment wrapText="1"/>
      <protection/>
    </xf>
    <xf numFmtId="3" fontId="26" fillId="24" borderId="14" xfId="0" applyNumberFormat="1" applyFont="1" applyFill="1" applyBorder="1" applyAlignment="1">
      <alignment/>
    </xf>
    <xf numFmtId="0" fontId="22" fillId="24" borderId="14" xfId="136" applyFont="1" applyFill="1" applyBorder="1" applyAlignment="1">
      <alignment horizontal="left" wrapText="1"/>
      <protection/>
    </xf>
    <xf numFmtId="3" fontId="22" fillId="24" borderId="13" xfId="0" applyNumberFormat="1" applyFont="1" applyFill="1" applyBorder="1" applyAlignment="1">
      <alignment horizontal="left" wrapText="1"/>
    </xf>
    <xf numFmtId="3" fontId="24" fillId="24" borderId="13" xfId="0" applyNumberFormat="1" applyFont="1" applyFill="1" applyBorder="1" applyAlignment="1">
      <alignment horizontal="left" wrapText="1"/>
    </xf>
    <xf numFmtId="49" fontId="24" fillId="24" borderId="28" xfId="136" applyNumberFormat="1" applyFont="1" applyFill="1" applyBorder="1" applyAlignment="1">
      <alignment horizontal="right"/>
      <protection/>
    </xf>
    <xf numFmtId="49" fontId="24" fillId="24" borderId="51" xfId="136" applyNumberFormat="1" applyFont="1" applyFill="1" applyBorder="1" applyAlignment="1">
      <alignment horizontal="right"/>
      <protection/>
    </xf>
    <xf numFmtId="3" fontId="24" fillId="24" borderId="38" xfId="0" applyNumberFormat="1" applyFont="1" applyFill="1" applyBorder="1" applyAlignment="1">
      <alignment/>
    </xf>
    <xf numFmtId="3" fontId="24" fillId="24" borderId="52" xfId="0" applyNumberFormat="1" applyFont="1" applyFill="1" applyBorder="1" applyAlignment="1">
      <alignment horizontal="left"/>
    </xf>
    <xf numFmtId="3" fontId="26" fillId="24" borderId="15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 horizontal="right"/>
    </xf>
    <xf numFmtId="3" fontId="24" fillId="24" borderId="53" xfId="0" applyNumberFormat="1" applyFont="1" applyFill="1" applyBorder="1" applyAlignment="1">
      <alignment horizontal="right"/>
    </xf>
    <xf numFmtId="3" fontId="24" fillId="24" borderId="54" xfId="0" applyNumberFormat="1" applyFont="1" applyFill="1" applyBorder="1" applyAlignment="1">
      <alignment wrapText="1"/>
    </xf>
    <xf numFmtId="3" fontId="24" fillId="24" borderId="55" xfId="0" applyNumberFormat="1" applyFont="1" applyFill="1" applyBorder="1" applyAlignment="1">
      <alignment/>
    </xf>
    <xf numFmtId="3" fontId="24" fillId="24" borderId="56" xfId="0" applyNumberFormat="1" applyFont="1" applyFill="1" applyBorder="1" applyAlignment="1">
      <alignment/>
    </xf>
    <xf numFmtId="3" fontId="24" fillId="24" borderId="57" xfId="0" applyNumberFormat="1" applyFont="1" applyFill="1" applyBorder="1" applyAlignment="1">
      <alignment/>
    </xf>
    <xf numFmtId="3" fontId="22" fillId="24" borderId="25" xfId="136" applyNumberFormat="1" applyFont="1" applyFill="1" applyBorder="1" applyAlignment="1">
      <alignment horizontal="right"/>
      <protection/>
    </xf>
    <xf numFmtId="3" fontId="21" fillId="24" borderId="14" xfId="128" applyNumberFormat="1" applyFont="1" applyFill="1" applyBorder="1" applyAlignment="1">
      <alignment horizontal="left" wrapText="1"/>
      <protection/>
    </xf>
    <xf numFmtId="3" fontId="22" fillId="24" borderId="15" xfId="128" applyNumberFormat="1" applyFont="1" applyFill="1" applyBorder="1" applyAlignment="1">
      <alignment horizontal="left" wrapText="1"/>
      <protection/>
    </xf>
    <xf numFmtId="3" fontId="22" fillId="24" borderId="18" xfId="128" applyNumberFormat="1" applyFont="1" applyFill="1" applyBorder="1" applyAlignment="1">
      <alignment horizontal="left" wrapText="1"/>
      <protection/>
    </xf>
    <xf numFmtId="3" fontId="22" fillId="24" borderId="0" xfId="0" applyNumberFormat="1" applyFont="1" applyFill="1" applyAlignment="1">
      <alignment horizontal="center" wrapText="1"/>
    </xf>
    <xf numFmtId="3" fontId="22" fillId="24" borderId="14" xfId="0" applyNumberFormat="1" applyFont="1" applyFill="1" applyBorder="1" applyAlignment="1">
      <alignment horizontal="left" wrapText="1"/>
    </xf>
    <xf numFmtId="3" fontId="22" fillId="24" borderId="14" xfId="0" applyNumberFormat="1" applyFont="1" applyFill="1" applyBorder="1" applyAlignment="1">
      <alignment horizontal="right"/>
    </xf>
    <xf numFmtId="3" fontId="22" fillId="24" borderId="14" xfId="129" applyNumberFormat="1" applyFont="1" applyFill="1" applyBorder="1" applyAlignment="1">
      <alignment horizontal="left" wrapText="1"/>
      <protection/>
    </xf>
    <xf numFmtId="3" fontId="22" fillId="24" borderId="14" xfId="136" applyNumberFormat="1" applyFont="1" applyFill="1" applyBorder="1" applyAlignment="1">
      <alignment horizontal="right"/>
      <protection/>
    </xf>
    <xf numFmtId="0" fontId="22" fillId="24" borderId="14" xfId="129" applyFont="1" applyFill="1" applyBorder="1" applyAlignment="1">
      <alignment horizontal="left" vertical="center" wrapText="1"/>
      <protection/>
    </xf>
    <xf numFmtId="0" fontId="22" fillId="24" borderId="14" xfId="129" applyFont="1" applyFill="1" applyBorder="1" applyAlignment="1">
      <alignment horizontal="left" wrapText="1"/>
      <protection/>
    </xf>
    <xf numFmtId="49" fontId="22" fillId="24" borderId="14" xfId="136" applyNumberFormat="1" applyFont="1" applyFill="1" applyBorder="1" applyAlignment="1">
      <alignment horizontal="right"/>
      <protection/>
    </xf>
    <xf numFmtId="0" fontId="22" fillId="24" borderId="15" xfId="0" applyFont="1" applyFill="1" applyBorder="1" applyAlignment="1">
      <alignment horizontal="left" wrapText="1"/>
    </xf>
    <xf numFmtId="0" fontId="22" fillId="24" borderId="38" xfId="128" applyFont="1" applyFill="1" applyBorder="1" applyAlignment="1">
      <alignment horizontal="left" wrapText="1"/>
      <protection/>
    </xf>
    <xf numFmtId="3" fontId="24" fillId="24" borderId="19" xfId="0" applyNumberFormat="1" applyFont="1" applyFill="1" applyBorder="1" applyAlignment="1">
      <alignment wrapText="1"/>
    </xf>
    <xf numFmtId="3" fontId="24" fillId="24" borderId="34" xfId="0" applyNumberFormat="1" applyFont="1" applyFill="1" applyBorder="1" applyAlignment="1">
      <alignment/>
    </xf>
    <xf numFmtId="0" fontId="21" fillId="24" borderId="38" xfId="128" applyFont="1" applyFill="1" applyBorder="1" applyAlignment="1">
      <alignment horizontal="left" wrapText="1"/>
      <protection/>
    </xf>
    <xf numFmtId="3" fontId="22" fillId="24" borderId="20" xfId="0" applyNumberFormat="1" applyFont="1" applyFill="1" applyBorder="1" applyAlignment="1">
      <alignment/>
    </xf>
    <xf numFmtId="3" fontId="22" fillId="24" borderId="0" xfId="0" applyNumberFormat="1" applyFont="1" applyFill="1" applyBorder="1" applyAlignment="1" applyProtection="1">
      <alignment/>
      <protection/>
    </xf>
    <xf numFmtId="3" fontId="22" fillId="24" borderId="0" xfId="0" applyNumberFormat="1" applyFont="1" applyFill="1" applyBorder="1" applyAlignment="1">
      <alignment wrapText="1"/>
    </xf>
    <xf numFmtId="3" fontId="22" fillId="24" borderId="0" xfId="127" applyNumberFormat="1" applyFont="1" applyFill="1" applyBorder="1" applyAlignment="1">
      <alignment horizontal="left" wrapText="1"/>
      <protection/>
    </xf>
    <xf numFmtId="3" fontId="22" fillId="24" borderId="0" xfId="127" applyNumberFormat="1" applyFont="1" applyFill="1" applyBorder="1" applyAlignment="1">
      <alignment horizontal="right" wrapText="1"/>
      <protection/>
    </xf>
    <xf numFmtId="3" fontId="26" fillId="24" borderId="0" xfId="0" applyNumberFormat="1" applyFont="1" applyFill="1" applyBorder="1" applyAlignment="1">
      <alignment/>
    </xf>
    <xf numFmtId="3" fontId="24" fillId="24" borderId="39" xfId="0" applyNumberFormat="1" applyFont="1" applyFill="1" applyBorder="1" applyAlignment="1">
      <alignment horizontal="left"/>
    </xf>
    <xf numFmtId="3" fontId="26" fillId="24" borderId="44" xfId="0" applyNumberFormat="1" applyFont="1" applyFill="1" applyBorder="1" applyAlignment="1">
      <alignment/>
    </xf>
    <xf numFmtId="3" fontId="22" fillId="24" borderId="58" xfId="0" applyNumberFormat="1" applyFont="1" applyFill="1" applyBorder="1" applyAlignment="1">
      <alignment/>
    </xf>
    <xf numFmtId="3" fontId="22" fillId="24" borderId="41" xfId="0" applyNumberFormat="1" applyFont="1" applyFill="1" applyBorder="1" applyAlignment="1">
      <alignment wrapText="1"/>
    </xf>
    <xf numFmtId="3" fontId="24" fillId="24" borderId="52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 horizontal="right" wrapText="1"/>
    </xf>
    <xf numFmtId="0" fontId="22" fillId="24" borderId="54" xfId="136" applyFont="1" applyFill="1" applyBorder="1" applyAlignment="1">
      <alignment horizontal="left" wrapText="1"/>
      <protection/>
    </xf>
  </cellXfs>
  <cellStyles count="152">
    <cellStyle name="Normal" xfId="0"/>
    <cellStyle name="1. izcēlums 2" xfId="15"/>
    <cellStyle name="1. izcēlums" xfId="16"/>
    <cellStyle name="2. izcēlums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no 1. izcēluma" xfId="24"/>
    <cellStyle name="20% no 1. izcēluma 2" xfId="25"/>
    <cellStyle name="20% no 1. izcēluma" xfId="26"/>
    <cellStyle name="20% no 2. izcēluma" xfId="27"/>
    <cellStyle name="20% no 2. izcēluma 2" xfId="28"/>
    <cellStyle name="20% no 2. izcēluma" xfId="29"/>
    <cellStyle name="20% no 3. izcēluma" xfId="30"/>
    <cellStyle name="20% no 3. izcēluma 2" xfId="31"/>
    <cellStyle name="20% no 3. izcēluma" xfId="32"/>
    <cellStyle name="20% no 4. izcēluma" xfId="33"/>
    <cellStyle name="20% no 4. izcēluma 2" xfId="34"/>
    <cellStyle name="20% no 4. izcēluma" xfId="35"/>
    <cellStyle name="20% no 5. izcēluma" xfId="36"/>
    <cellStyle name="20% no 5. izcēluma 2" xfId="37"/>
    <cellStyle name="20% no 5. izcēluma" xfId="38"/>
    <cellStyle name="20% no 6. izcēluma" xfId="39"/>
    <cellStyle name="20% no 6. izcēluma 2" xfId="40"/>
    <cellStyle name="20% no 6. izcēluma" xfId="41"/>
    <cellStyle name="3. izcēlums  2" xfId="42"/>
    <cellStyle name="4. izcēlums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no 1. izcēluma" xfId="50"/>
    <cellStyle name="40% no 1. izcēluma 2" xfId="51"/>
    <cellStyle name="40% no 1. izcēluma" xfId="52"/>
    <cellStyle name="40% no 2. izcēluma" xfId="53"/>
    <cellStyle name="40% no 2. izcēluma 2" xfId="54"/>
    <cellStyle name="40% no 2. izcēluma" xfId="55"/>
    <cellStyle name="40% no 3. izcēluma" xfId="56"/>
    <cellStyle name="40% no 3. izcēluma 2" xfId="57"/>
    <cellStyle name="40% no 3. izcēluma" xfId="58"/>
    <cellStyle name="40% no 4. izcēluma" xfId="59"/>
    <cellStyle name="40% no 4. izcēluma 2" xfId="60"/>
    <cellStyle name="40% no 4. izcēluma" xfId="61"/>
    <cellStyle name="40% no 5. izcēluma" xfId="62"/>
    <cellStyle name="40% no 5. izcēluma 2" xfId="63"/>
    <cellStyle name="40% no 5. izcēluma" xfId="64"/>
    <cellStyle name="40% no 6. izcēluma" xfId="65"/>
    <cellStyle name="40% no 6. izcēluma 2" xfId="66"/>
    <cellStyle name="40% no 6. izcēluma" xfId="67"/>
    <cellStyle name="5. izcēlums 2" xfId="68"/>
    <cellStyle name="6. izcēlums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no 1. izcēluma" xfId="76"/>
    <cellStyle name="60% no 1. izcēluma 2" xfId="77"/>
    <cellStyle name="60% no 1. izcēluma" xfId="78"/>
    <cellStyle name="60% no 2. izcēluma" xfId="79"/>
    <cellStyle name="60% no 2. izcēluma 2" xfId="80"/>
    <cellStyle name="60% no 2. izcēluma" xfId="81"/>
    <cellStyle name="60% no 3. izcēluma" xfId="82"/>
    <cellStyle name="60% no 3. izcēluma 2" xfId="83"/>
    <cellStyle name="60% no 3. izcēluma" xfId="84"/>
    <cellStyle name="60% no 4. izcēluma" xfId="85"/>
    <cellStyle name="60% no 4. izcēluma 2" xfId="86"/>
    <cellStyle name="60% no 4. izcēluma" xfId="87"/>
    <cellStyle name="60% no 5. izcēluma" xfId="88"/>
    <cellStyle name="60% no 5. izcēluma 2" xfId="89"/>
    <cellStyle name="60% no 5. izcēluma" xfId="90"/>
    <cellStyle name="60% no 6. izcēluma" xfId="91"/>
    <cellStyle name="60% no 6. izcēluma 2" xfId="92"/>
    <cellStyle name="60% no 6. izcēluma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Aprēķināšana 2" xfId="100"/>
    <cellStyle name="Bad" xfId="101"/>
    <cellStyle name="Brīdinājuma teksts 2" xfId="102"/>
    <cellStyle name="Calculation" xfId="103"/>
    <cellStyle name="Check Cell" xfId="104"/>
    <cellStyle name="Comma" xfId="105"/>
    <cellStyle name="Comma [0]" xfId="106"/>
    <cellStyle name="Currency" xfId="107"/>
    <cellStyle name="Currency [0]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evade 2" xfId="117"/>
    <cellStyle name="Input" xfId="118"/>
    <cellStyle name="Izvade 2" xfId="119"/>
    <cellStyle name="Kopsumma 2" xfId="120"/>
    <cellStyle name="Labs" xfId="121"/>
    <cellStyle name="Labs 2" xfId="122"/>
    <cellStyle name="Linked Cell" xfId="123"/>
    <cellStyle name="Neitrāls 2" xfId="124"/>
    <cellStyle name="Neutral" xfId="125"/>
    <cellStyle name="Normal 2" xfId="126"/>
    <cellStyle name="Normal_2009.g plāns apst 3" xfId="127"/>
    <cellStyle name="Normal_PROJEKTI_2016_PLĀNS_Aija un Inese" xfId="128"/>
    <cellStyle name="Normal_PROJEKTI_2016_PLĀNS_Aija un Inese 2" xfId="129"/>
    <cellStyle name="Normal_Sheet1" xfId="130"/>
    <cellStyle name="Normal_Sheet1_Pielikumi oktobra korekcijam 2" xfId="131"/>
    <cellStyle name="Normal_Specbudz.kopsavilkums 2006.g un korekc. 2" xfId="132"/>
    <cellStyle name="Nosaukums 2" xfId="133"/>
    <cellStyle name="Note" xfId="134"/>
    <cellStyle name="Output" xfId="135"/>
    <cellStyle name="Parasts 2" xfId="136"/>
    <cellStyle name="Parasts 2 2" xfId="137"/>
    <cellStyle name="Parasts 2 3" xfId="138"/>
    <cellStyle name="Parasts 2_2016.g. Ieņēmumu un izdevumu plāns" xfId="139"/>
    <cellStyle name="Paskaidrojošs teksts" xfId="140"/>
    <cellStyle name="Paskaidrojošs teksts 2" xfId="141"/>
    <cellStyle name="Pārbaudes šūna" xfId="142"/>
    <cellStyle name="Pārbaudes šūna 2" xfId="143"/>
    <cellStyle name="Percent" xfId="144"/>
    <cellStyle name="Percent 2" xfId="145"/>
    <cellStyle name="Piezīme" xfId="146"/>
    <cellStyle name="Piezīme 2" xfId="147"/>
    <cellStyle name="Procenti 2" xfId="148"/>
    <cellStyle name="Procenti 3" xfId="149"/>
    <cellStyle name="Saistīta šūna" xfId="150"/>
    <cellStyle name="Saistīta šūna 2" xfId="151"/>
    <cellStyle name="Saistītā šūna" xfId="152"/>
    <cellStyle name="Slikts" xfId="153"/>
    <cellStyle name="Slikts 2" xfId="154"/>
    <cellStyle name="Title" xfId="155"/>
    <cellStyle name="Total" xfId="156"/>
    <cellStyle name="Virsraksts 1" xfId="157"/>
    <cellStyle name="Virsraksts 1 2" xfId="158"/>
    <cellStyle name="Virsraksts 2" xfId="159"/>
    <cellStyle name="Virsraksts 2 2" xfId="160"/>
    <cellStyle name="Virsraksts 3" xfId="161"/>
    <cellStyle name="Virsraksts 3 2" xfId="162"/>
    <cellStyle name="Virsraksts 4" xfId="163"/>
    <cellStyle name="Virsraksts 4 2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7" zoomScaleNormal="8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" sqref="O3"/>
    </sheetView>
  </sheetViews>
  <sheetFormatPr defaultColWidth="9.140625" defaultRowHeight="12.75"/>
  <cols>
    <col min="1" max="1" width="13.28125" style="17" customWidth="1"/>
    <col min="2" max="2" width="41.00390625" style="18" customWidth="1"/>
    <col min="3" max="3" width="12.7109375" style="17" customWidth="1"/>
    <col min="4" max="4" width="13.8515625" style="19" customWidth="1"/>
    <col min="5" max="5" width="10.7109375" style="17" customWidth="1"/>
    <col min="6" max="6" width="11.00390625" style="17" customWidth="1"/>
    <col min="7" max="7" width="10.8515625" style="17" bestFit="1" customWidth="1"/>
    <col min="8" max="8" width="9.7109375" style="17" customWidth="1"/>
    <col min="9" max="9" width="10.421875" style="17" customWidth="1"/>
    <col min="10" max="10" width="11.28125" style="17" customWidth="1"/>
    <col min="11" max="11" width="10.00390625" style="17" customWidth="1"/>
    <col min="12" max="12" width="9.7109375" style="17" customWidth="1"/>
    <col min="13" max="13" width="10.421875" style="17" customWidth="1"/>
    <col min="14" max="14" width="10.28125" style="17" customWidth="1"/>
    <col min="15" max="15" width="13.00390625" style="22" customWidth="1"/>
    <col min="16" max="16" width="8.8515625" style="17" customWidth="1"/>
    <col min="17" max="17" width="9.7109375" style="17" customWidth="1"/>
    <col min="18" max="16384" width="9.140625" style="17" customWidth="1"/>
  </cols>
  <sheetData>
    <row r="1" spans="5:15" ht="15">
      <c r="E1" s="20"/>
      <c r="F1" s="20"/>
      <c r="O1" s="21" t="s">
        <v>121</v>
      </c>
    </row>
    <row r="2" spans="1:15" ht="15">
      <c r="A2" s="23"/>
      <c r="E2" s="23"/>
      <c r="F2" s="23"/>
      <c r="O2" s="21" t="s">
        <v>385</v>
      </c>
    </row>
    <row r="3" spans="1:15" ht="15">
      <c r="A3" s="23"/>
      <c r="E3" s="23"/>
      <c r="F3" s="23"/>
      <c r="O3" s="21" t="s">
        <v>574</v>
      </c>
    </row>
    <row r="5" spans="1:4" ht="20.25">
      <c r="A5" s="1" t="s">
        <v>368</v>
      </c>
      <c r="B5" s="1"/>
      <c r="C5" s="1"/>
      <c r="D5" s="1"/>
    </row>
    <row r="6" spans="1:13" ht="15.75" thickBot="1">
      <c r="A6" s="23"/>
      <c r="B6" s="24"/>
      <c r="C6" s="23"/>
      <c r="M6" s="25"/>
    </row>
    <row r="7" spans="1:17" ht="104.25" customHeight="1" thickBot="1">
      <c r="A7" s="26" t="s">
        <v>0</v>
      </c>
      <c r="B7" s="27" t="s">
        <v>140</v>
      </c>
      <c r="C7" s="29" t="s">
        <v>369</v>
      </c>
      <c r="D7" s="30" t="s">
        <v>370</v>
      </c>
      <c r="E7" s="28" t="s">
        <v>371</v>
      </c>
      <c r="F7" s="28" t="s">
        <v>372</v>
      </c>
      <c r="G7" s="31" t="s">
        <v>373</v>
      </c>
      <c r="H7" s="31" t="s">
        <v>374</v>
      </c>
      <c r="I7" s="31" t="s">
        <v>375</v>
      </c>
      <c r="J7" s="31" t="s">
        <v>376</v>
      </c>
      <c r="K7" s="31" t="s">
        <v>377</v>
      </c>
      <c r="L7" s="31" t="s">
        <v>378</v>
      </c>
      <c r="M7" s="31" t="s">
        <v>379</v>
      </c>
      <c r="N7" s="32" t="s">
        <v>380</v>
      </c>
      <c r="O7" s="33" t="s">
        <v>381</v>
      </c>
      <c r="P7" s="34"/>
      <c r="Q7" s="34"/>
    </row>
    <row r="8" spans="1:16" ht="15.75" thickBot="1">
      <c r="A8" s="35"/>
      <c r="B8" s="36" t="s">
        <v>18</v>
      </c>
      <c r="C8" s="37">
        <f>C9+C12+C17+C18</f>
        <v>22870905</v>
      </c>
      <c r="D8" s="37">
        <f aca="true" t="shared" si="0" ref="D8:N8">D9+D12+D18</f>
        <v>0</v>
      </c>
      <c r="E8" s="37">
        <f t="shared" si="0"/>
        <v>0</v>
      </c>
      <c r="F8" s="38">
        <f t="shared" si="0"/>
        <v>0</v>
      </c>
      <c r="G8" s="37">
        <f>G9+G12+G18</f>
        <v>109850</v>
      </c>
      <c r="H8" s="37">
        <f t="shared" si="0"/>
        <v>50140</v>
      </c>
      <c r="I8" s="37">
        <f t="shared" si="0"/>
        <v>45000</v>
      </c>
      <c r="J8" s="37">
        <f t="shared" si="0"/>
        <v>104008</v>
      </c>
      <c r="K8" s="37">
        <f t="shared" si="0"/>
        <v>57000</v>
      </c>
      <c r="L8" s="37">
        <f t="shared" si="0"/>
        <v>49000</v>
      </c>
      <c r="M8" s="37">
        <f t="shared" si="0"/>
        <v>49680</v>
      </c>
      <c r="N8" s="37">
        <f t="shared" si="0"/>
        <v>74000</v>
      </c>
      <c r="O8" s="39">
        <f>SUM(C8:N8)</f>
        <v>23409583</v>
      </c>
      <c r="P8" s="40"/>
    </row>
    <row r="9" spans="1:16" ht="15">
      <c r="A9" s="41" t="s">
        <v>19</v>
      </c>
      <c r="B9" s="42" t="s">
        <v>141</v>
      </c>
      <c r="C9" s="43">
        <f aca="true" t="shared" si="1" ref="C9:N9">SUM(C10:C11)</f>
        <v>21447122</v>
      </c>
      <c r="D9" s="43">
        <f t="shared" si="1"/>
        <v>0</v>
      </c>
      <c r="E9" s="43">
        <f t="shared" si="1"/>
        <v>0</v>
      </c>
      <c r="F9" s="9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44">
        <f aca="true" t="shared" si="2" ref="O9:O49">SUM(C9:N9)</f>
        <v>21447122</v>
      </c>
      <c r="P9" s="40"/>
    </row>
    <row r="10" spans="1:16" ht="45">
      <c r="A10" s="45" t="s">
        <v>171</v>
      </c>
      <c r="B10" s="46" t="s">
        <v>172</v>
      </c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44">
        <f t="shared" si="2"/>
        <v>0</v>
      </c>
      <c r="P10" s="40"/>
    </row>
    <row r="11" spans="1:16" ht="30">
      <c r="A11" s="45" t="s">
        <v>173</v>
      </c>
      <c r="B11" s="46" t="s">
        <v>174</v>
      </c>
      <c r="C11" s="6">
        <v>21447122</v>
      </c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44">
        <f t="shared" si="2"/>
        <v>21447122</v>
      </c>
      <c r="P11" s="40"/>
    </row>
    <row r="12" spans="1:16" ht="15">
      <c r="A12" s="47" t="s">
        <v>142</v>
      </c>
      <c r="B12" s="46" t="s">
        <v>143</v>
      </c>
      <c r="C12" s="6">
        <f>C13</f>
        <v>1340783</v>
      </c>
      <c r="D12" s="6"/>
      <c r="E12" s="6"/>
      <c r="F12" s="7"/>
      <c r="G12" s="6">
        <f>G13</f>
        <v>109850</v>
      </c>
      <c r="H12" s="3">
        <f aca="true" t="shared" si="3" ref="H12:N12">H13</f>
        <v>50140</v>
      </c>
      <c r="I12" s="3">
        <f t="shared" si="3"/>
        <v>45000</v>
      </c>
      <c r="J12" s="3">
        <f t="shared" si="3"/>
        <v>104008</v>
      </c>
      <c r="K12" s="3">
        <f t="shared" si="3"/>
        <v>57000</v>
      </c>
      <c r="L12" s="3">
        <f t="shared" si="3"/>
        <v>49000</v>
      </c>
      <c r="M12" s="3">
        <f t="shared" si="3"/>
        <v>49680</v>
      </c>
      <c r="N12" s="3">
        <f t="shared" si="3"/>
        <v>74000</v>
      </c>
      <c r="O12" s="44">
        <f t="shared" si="2"/>
        <v>1879461</v>
      </c>
      <c r="P12" s="40"/>
    </row>
    <row r="13" spans="1:16" ht="15">
      <c r="A13" s="47" t="s">
        <v>20</v>
      </c>
      <c r="B13" s="46" t="s">
        <v>21</v>
      </c>
      <c r="C13" s="6">
        <f>SUM(C14:C16)</f>
        <v>1340783</v>
      </c>
      <c r="D13" s="6"/>
      <c r="E13" s="6"/>
      <c r="F13" s="6"/>
      <c r="G13" s="3">
        <f aca="true" t="shared" si="4" ref="G13:N13">SUM(G14:G16)</f>
        <v>109850</v>
      </c>
      <c r="H13" s="6">
        <f t="shared" si="4"/>
        <v>50140</v>
      </c>
      <c r="I13" s="6">
        <f t="shared" si="4"/>
        <v>45000</v>
      </c>
      <c r="J13" s="6">
        <f t="shared" si="4"/>
        <v>104008</v>
      </c>
      <c r="K13" s="6">
        <f t="shared" si="4"/>
        <v>57000</v>
      </c>
      <c r="L13" s="6">
        <f t="shared" si="4"/>
        <v>49000</v>
      </c>
      <c r="M13" s="6">
        <f t="shared" si="4"/>
        <v>49680</v>
      </c>
      <c r="N13" s="6">
        <f t="shared" si="4"/>
        <v>74000</v>
      </c>
      <c r="O13" s="44">
        <f t="shared" si="2"/>
        <v>1879461</v>
      </c>
      <c r="P13" s="40"/>
    </row>
    <row r="14" spans="1:16" ht="15">
      <c r="A14" s="45" t="s">
        <v>1</v>
      </c>
      <c r="B14" s="46" t="s">
        <v>22</v>
      </c>
      <c r="C14" s="3">
        <v>593098</v>
      </c>
      <c r="D14" s="3"/>
      <c r="E14" s="3"/>
      <c r="F14" s="6"/>
      <c r="G14" s="48">
        <v>93500</v>
      </c>
      <c r="H14" s="3">
        <v>45230</v>
      </c>
      <c r="I14" s="3">
        <v>40000</v>
      </c>
      <c r="J14" s="3">
        <v>93133</v>
      </c>
      <c r="K14" s="6">
        <v>49000</v>
      </c>
      <c r="L14" s="3">
        <v>44800</v>
      </c>
      <c r="M14" s="49">
        <v>47180</v>
      </c>
      <c r="N14" s="50">
        <v>70500</v>
      </c>
      <c r="O14" s="44">
        <f t="shared" si="2"/>
        <v>1076441</v>
      </c>
      <c r="P14" s="40"/>
    </row>
    <row r="15" spans="1:16" ht="15">
      <c r="A15" s="45" t="s">
        <v>2</v>
      </c>
      <c r="B15" s="46" t="s">
        <v>23</v>
      </c>
      <c r="C15" s="3">
        <v>463238</v>
      </c>
      <c r="D15" s="3"/>
      <c r="E15" s="3"/>
      <c r="F15" s="6"/>
      <c r="G15" s="48">
        <v>4950</v>
      </c>
      <c r="H15" s="3">
        <v>2950</v>
      </c>
      <c r="I15" s="3">
        <v>2200</v>
      </c>
      <c r="J15" s="3">
        <v>4386</v>
      </c>
      <c r="K15" s="6">
        <v>8000</v>
      </c>
      <c r="L15" s="3">
        <v>1400</v>
      </c>
      <c r="M15" s="48">
        <v>500</v>
      </c>
      <c r="N15" s="50">
        <v>500</v>
      </c>
      <c r="O15" s="44">
        <f t="shared" si="2"/>
        <v>488124</v>
      </c>
      <c r="P15" s="40"/>
    </row>
    <row r="16" spans="1:16" ht="15">
      <c r="A16" s="45" t="s">
        <v>276</v>
      </c>
      <c r="B16" s="46" t="s">
        <v>277</v>
      </c>
      <c r="C16" s="3">
        <v>284447</v>
      </c>
      <c r="D16" s="3" t="s">
        <v>525</v>
      </c>
      <c r="E16" s="3"/>
      <c r="F16" s="6"/>
      <c r="G16" s="48">
        <v>11400</v>
      </c>
      <c r="H16" s="3">
        <v>1960</v>
      </c>
      <c r="I16" s="6">
        <v>2800</v>
      </c>
      <c r="J16" s="3">
        <v>6489</v>
      </c>
      <c r="K16" s="3"/>
      <c r="L16" s="3">
        <v>2800</v>
      </c>
      <c r="M16" s="48">
        <v>2000</v>
      </c>
      <c r="N16" s="50">
        <v>3000</v>
      </c>
      <c r="O16" s="44">
        <f>SUM(C16:N16)</f>
        <v>314896</v>
      </c>
      <c r="P16" s="40"/>
    </row>
    <row r="17" spans="1:16" ht="15">
      <c r="A17" s="51" t="s">
        <v>386</v>
      </c>
      <c r="B17" s="52" t="s">
        <v>387</v>
      </c>
      <c r="C17" s="4">
        <v>15000</v>
      </c>
      <c r="D17" s="4"/>
      <c r="E17" s="4"/>
      <c r="F17" s="53"/>
      <c r="G17" s="54"/>
      <c r="H17" s="4"/>
      <c r="I17" s="5"/>
      <c r="J17" s="4"/>
      <c r="K17" s="4"/>
      <c r="L17" s="4"/>
      <c r="M17" s="5"/>
      <c r="N17" s="53"/>
      <c r="O17" s="44">
        <f>SUM(C17:N17)</f>
        <v>15000</v>
      </c>
      <c r="P17" s="40"/>
    </row>
    <row r="18" spans="1:16" ht="15.75" thickBot="1">
      <c r="A18" s="55" t="s">
        <v>167</v>
      </c>
      <c r="B18" s="56" t="s">
        <v>168</v>
      </c>
      <c r="C18" s="5">
        <v>68000</v>
      </c>
      <c r="D18" s="5"/>
      <c r="E18" s="5"/>
      <c r="F18" s="57"/>
      <c r="G18" s="5"/>
      <c r="H18" s="5"/>
      <c r="I18" s="5"/>
      <c r="J18" s="5"/>
      <c r="K18" s="5"/>
      <c r="L18" s="5"/>
      <c r="M18" s="5"/>
      <c r="N18" s="57"/>
      <c r="O18" s="58">
        <f>SUM(C18:N18)</f>
        <v>68000</v>
      </c>
      <c r="P18" s="40"/>
    </row>
    <row r="19" spans="1:16" ht="15.75" thickBot="1">
      <c r="A19" s="35"/>
      <c r="B19" s="36" t="s">
        <v>24</v>
      </c>
      <c r="C19" s="37">
        <f>SUM(C20:C27)</f>
        <v>141880</v>
      </c>
      <c r="D19" s="37">
        <f aca="true" t="shared" si="5" ref="D19:N19">SUM(D20:D27)</f>
        <v>200</v>
      </c>
      <c r="E19" s="37">
        <f t="shared" si="5"/>
        <v>0</v>
      </c>
      <c r="F19" s="37">
        <f t="shared" si="5"/>
        <v>0</v>
      </c>
      <c r="G19" s="37">
        <f t="shared" si="5"/>
        <v>4970</v>
      </c>
      <c r="H19" s="37">
        <f t="shared" si="5"/>
        <v>320</v>
      </c>
      <c r="I19" s="37">
        <f t="shared" si="5"/>
        <v>100</v>
      </c>
      <c r="J19" s="37">
        <f t="shared" si="5"/>
        <v>8050</v>
      </c>
      <c r="K19" s="37">
        <f t="shared" si="5"/>
        <v>0</v>
      </c>
      <c r="L19" s="37">
        <f t="shared" si="5"/>
        <v>50</v>
      </c>
      <c r="M19" s="37">
        <f t="shared" si="5"/>
        <v>100</v>
      </c>
      <c r="N19" s="37">
        <f t="shared" si="5"/>
        <v>170</v>
      </c>
      <c r="O19" s="39">
        <f t="shared" si="2"/>
        <v>155840</v>
      </c>
      <c r="P19" s="40"/>
    </row>
    <row r="20" spans="1:16" ht="15">
      <c r="A20" s="59" t="s">
        <v>388</v>
      </c>
      <c r="B20" s="60" t="s">
        <v>389</v>
      </c>
      <c r="C20" s="15">
        <v>60000</v>
      </c>
      <c r="D20" s="61"/>
      <c r="E20" s="61"/>
      <c r="F20" s="62"/>
      <c r="G20" s="61"/>
      <c r="H20" s="62"/>
      <c r="I20" s="62"/>
      <c r="J20" s="62"/>
      <c r="K20" s="62"/>
      <c r="L20" s="62"/>
      <c r="M20" s="62"/>
      <c r="N20" s="62"/>
      <c r="O20" s="44">
        <f t="shared" si="2"/>
        <v>60000</v>
      </c>
      <c r="P20" s="40"/>
    </row>
    <row r="21" spans="1:16" ht="30">
      <c r="A21" s="41" t="s">
        <v>175</v>
      </c>
      <c r="B21" s="42" t="s">
        <v>176</v>
      </c>
      <c r="C21" s="43"/>
      <c r="D21" s="43"/>
      <c r="E21" s="43"/>
      <c r="F21" s="9"/>
      <c r="G21" s="43"/>
      <c r="H21" s="43"/>
      <c r="I21" s="43"/>
      <c r="J21" s="43"/>
      <c r="K21" s="43"/>
      <c r="L21" s="43"/>
      <c r="M21" s="43"/>
      <c r="N21" s="9"/>
      <c r="O21" s="44">
        <f t="shared" si="2"/>
        <v>0</v>
      </c>
      <c r="P21" s="40"/>
    </row>
    <row r="22" spans="1:16" ht="15">
      <c r="A22" s="41" t="s">
        <v>390</v>
      </c>
      <c r="B22" s="42" t="s">
        <v>391</v>
      </c>
      <c r="C22" s="43"/>
      <c r="D22" s="43"/>
      <c r="E22" s="43"/>
      <c r="F22" s="9"/>
      <c r="G22" s="43"/>
      <c r="H22" s="43"/>
      <c r="I22" s="43"/>
      <c r="J22" s="43"/>
      <c r="K22" s="43"/>
      <c r="L22" s="63"/>
      <c r="M22" s="43"/>
      <c r="N22" s="64"/>
      <c r="O22" s="44">
        <f t="shared" si="2"/>
        <v>0</v>
      </c>
      <c r="P22" s="40"/>
    </row>
    <row r="23" spans="1:16" ht="30">
      <c r="A23" s="47" t="s">
        <v>25</v>
      </c>
      <c r="B23" s="46" t="s">
        <v>26</v>
      </c>
      <c r="C23" s="6">
        <v>7180</v>
      </c>
      <c r="D23" s="6">
        <v>200</v>
      </c>
      <c r="E23" s="6"/>
      <c r="F23" s="7"/>
      <c r="G23" s="6"/>
      <c r="H23" s="6">
        <v>200</v>
      </c>
      <c r="I23" s="6">
        <v>50</v>
      </c>
      <c r="J23" s="6">
        <v>2200</v>
      </c>
      <c r="K23" s="6"/>
      <c r="L23" s="3">
        <v>25</v>
      </c>
      <c r="M23" s="6"/>
      <c r="N23" s="50">
        <v>100</v>
      </c>
      <c r="O23" s="44">
        <f t="shared" si="2"/>
        <v>9955</v>
      </c>
      <c r="P23" s="40"/>
    </row>
    <row r="24" spans="1:16" ht="15">
      <c r="A24" s="47" t="s">
        <v>4</v>
      </c>
      <c r="B24" s="46" t="s">
        <v>3</v>
      </c>
      <c r="C24" s="6">
        <v>20950</v>
      </c>
      <c r="D24" s="6"/>
      <c r="E24" s="6"/>
      <c r="F24" s="7"/>
      <c r="G24" s="6">
        <v>1300</v>
      </c>
      <c r="H24" s="6">
        <v>120</v>
      </c>
      <c r="I24" s="6">
        <v>50</v>
      </c>
      <c r="J24" s="6">
        <v>850</v>
      </c>
      <c r="K24" s="6"/>
      <c r="L24" s="3">
        <v>25</v>
      </c>
      <c r="M24" s="6">
        <v>100</v>
      </c>
      <c r="N24" s="50">
        <v>70</v>
      </c>
      <c r="O24" s="44">
        <f t="shared" si="2"/>
        <v>23465</v>
      </c>
      <c r="P24" s="40"/>
    </row>
    <row r="25" spans="1:16" ht="15">
      <c r="A25" s="47" t="s">
        <v>177</v>
      </c>
      <c r="B25" s="46" t="s">
        <v>139</v>
      </c>
      <c r="C25" s="6">
        <v>31100</v>
      </c>
      <c r="D25" s="6"/>
      <c r="E25" s="6"/>
      <c r="F25" s="7"/>
      <c r="G25" s="6"/>
      <c r="H25" s="6"/>
      <c r="I25" s="6"/>
      <c r="J25" s="6"/>
      <c r="K25" s="6"/>
      <c r="L25" s="6"/>
      <c r="M25" s="6"/>
      <c r="N25" s="7"/>
      <c r="O25" s="44">
        <f t="shared" si="2"/>
        <v>31100</v>
      </c>
      <c r="P25" s="40"/>
    </row>
    <row r="26" spans="1:16" ht="15">
      <c r="A26" s="47" t="s">
        <v>392</v>
      </c>
      <c r="B26" s="46" t="s">
        <v>27</v>
      </c>
      <c r="C26" s="6">
        <v>9150</v>
      </c>
      <c r="D26" s="6"/>
      <c r="E26" s="6"/>
      <c r="F26" s="7"/>
      <c r="G26" s="6"/>
      <c r="H26" s="6"/>
      <c r="I26" s="6"/>
      <c r="J26" s="6"/>
      <c r="K26" s="6"/>
      <c r="L26" s="6"/>
      <c r="M26" s="6"/>
      <c r="N26" s="7"/>
      <c r="O26" s="44">
        <f t="shared" si="2"/>
        <v>9150</v>
      </c>
      <c r="P26" s="40"/>
    </row>
    <row r="27" spans="1:16" ht="27.75" customHeight="1">
      <c r="A27" s="47" t="s">
        <v>28</v>
      </c>
      <c r="B27" s="46" t="s">
        <v>119</v>
      </c>
      <c r="C27" s="6">
        <v>13500</v>
      </c>
      <c r="D27" s="6"/>
      <c r="E27" s="6"/>
      <c r="F27" s="6"/>
      <c r="G27" s="7">
        <v>3670</v>
      </c>
      <c r="H27" s="65"/>
      <c r="I27" s="7"/>
      <c r="J27" s="6">
        <v>5000</v>
      </c>
      <c r="K27" s="7"/>
      <c r="L27" s="6"/>
      <c r="M27" s="7"/>
      <c r="N27" s="7"/>
      <c r="O27" s="44">
        <f t="shared" si="2"/>
        <v>22170</v>
      </c>
      <c r="P27" s="40"/>
    </row>
    <row r="28" spans="1:16" ht="58.5" thickBot="1">
      <c r="A28" s="66" t="s">
        <v>281</v>
      </c>
      <c r="B28" s="67" t="s">
        <v>282</v>
      </c>
      <c r="C28" s="68">
        <v>42816</v>
      </c>
      <c r="D28" s="68"/>
      <c r="E28" s="68"/>
      <c r="F28" s="10"/>
      <c r="G28" s="68"/>
      <c r="H28" s="10"/>
      <c r="I28" s="10"/>
      <c r="J28" s="68"/>
      <c r="K28" s="10"/>
      <c r="L28" s="68"/>
      <c r="M28" s="10"/>
      <c r="N28" s="10"/>
      <c r="O28" s="44">
        <f t="shared" si="2"/>
        <v>42816</v>
      </c>
      <c r="P28" s="40"/>
    </row>
    <row r="29" spans="1:16" ht="15.75" thickBot="1">
      <c r="A29" s="69" t="s">
        <v>29</v>
      </c>
      <c r="B29" s="36" t="s">
        <v>115</v>
      </c>
      <c r="C29" s="37">
        <f aca="true" t="shared" si="6" ref="C29:N29">SUM(C30:C30)</f>
        <v>17550580</v>
      </c>
      <c r="D29" s="37">
        <f t="shared" si="6"/>
        <v>0</v>
      </c>
      <c r="E29" s="37">
        <f t="shared" si="6"/>
        <v>0</v>
      </c>
      <c r="F29" s="38">
        <f t="shared" si="6"/>
        <v>0</v>
      </c>
      <c r="G29" s="37">
        <f t="shared" si="6"/>
        <v>0</v>
      </c>
      <c r="H29" s="37">
        <f t="shared" si="6"/>
        <v>0</v>
      </c>
      <c r="I29" s="37">
        <f t="shared" si="6"/>
        <v>0</v>
      </c>
      <c r="J29" s="37">
        <f t="shared" si="6"/>
        <v>75343</v>
      </c>
      <c r="K29" s="37">
        <f t="shared" si="6"/>
        <v>0</v>
      </c>
      <c r="L29" s="37">
        <f t="shared" si="6"/>
        <v>9998</v>
      </c>
      <c r="M29" s="37">
        <f t="shared" si="6"/>
        <v>200</v>
      </c>
      <c r="N29" s="37">
        <f t="shared" si="6"/>
        <v>0</v>
      </c>
      <c r="O29" s="39">
        <f t="shared" si="2"/>
        <v>17636121</v>
      </c>
      <c r="P29" s="40"/>
    </row>
    <row r="30" spans="1:16" ht="30.75" thickBot="1">
      <c r="A30" s="70" t="s">
        <v>192</v>
      </c>
      <c r="B30" s="71" t="s">
        <v>193</v>
      </c>
      <c r="C30" s="43">
        <f>7453554+4781648+5315378</f>
        <v>17550580</v>
      </c>
      <c r="D30" s="43"/>
      <c r="E30" s="43"/>
      <c r="F30" s="9"/>
      <c r="G30" s="43"/>
      <c r="H30" s="9"/>
      <c r="I30" s="9"/>
      <c r="J30" s="9">
        <v>75343</v>
      </c>
      <c r="K30" s="9"/>
      <c r="L30" s="9">
        <v>9998</v>
      </c>
      <c r="M30" s="9">
        <v>200</v>
      </c>
      <c r="N30" s="9"/>
      <c r="O30" s="44">
        <f t="shared" si="2"/>
        <v>17636121</v>
      </c>
      <c r="P30" s="40"/>
    </row>
    <row r="31" spans="1:16" ht="15.75" thickBot="1">
      <c r="A31" s="69" t="s">
        <v>30</v>
      </c>
      <c r="B31" s="36" t="s">
        <v>31</v>
      </c>
      <c r="C31" s="38">
        <f>SUM(C32:C34)</f>
        <v>695773</v>
      </c>
      <c r="D31" s="38">
        <f aca="true" t="shared" si="7" ref="D31:N31">SUM(D32:D34)</f>
        <v>0</v>
      </c>
      <c r="E31" s="38">
        <f t="shared" si="7"/>
        <v>0</v>
      </c>
      <c r="F31" s="38">
        <f t="shared" si="7"/>
        <v>0</v>
      </c>
      <c r="G31" s="37">
        <f t="shared" si="7"/>
        <v>0</v>
      </c>
      <c r="H31" s="37">
        <f t="shared" si="7"/>
        <v>0</v>
      </c>
      <c r="I31" s="37">
        <f t="shared" si="7"/>
        <v>0</v>
      </c>
      <c r="J31" s="37">
        <f t="shared" si="7"/>
        <v>100000</v>
      </c>
      <c r="K31" s="37">
        <f t="shared" si="7"/>
        <v>0</v>
      </c>
      <c r="L31" s="37">
        <f t="shared" si="7"/>
        <v>0</v>
      </c>
      <c r="M31" s="37">
        <f t="shared" si="7"/>
        <v>0</v>
      </c>
      <c r="N31" s="37">
        <f t="shared" si="7"/>
        <v>0</v>
      </c>
      <c r="O31" s="39">
        <f t="shared" si="2"/>
        <v>795773</v>
      </c>
      <c r="P31" s="40"/>
    </row>
    <row r="32" spans="1:16" ht="30">
      <c r="A32" s="41" t="s">
        <v>144</v>
      </c>
      <c r="B32" s="42" t="s">
        <v>194</v>
      </c>
      <c r="C32" s="9"/>
      <c r="D32" s="9"/>
      <c r="E32" s="9"/>
      <c r="F32" s="9"/>
      <c r="G32" s="43"/>
      <c r="H32" s="9"/>
      <c r="I32" s="9"/>
      <c r="J32" s="9"/>
      <c r="K32" s="9"/>
      <c r="L32" s="9"/>
      <c r="M32" s="9"/>
      <c r="N32" s="9"/>
      <c r="O32" s="44">
        <f t="shared" si="2"/>
        <v>0</v>
      </c>
      <c r="P32" s="40"/>
    </row>
    <row r="33" spans="1:16" ht="30">
      <c r="A33" s="47" t="s">
        <v>32</v>
      </c>
      <c r="B33" s="46" t="s">
        <v>195</v>
      </c>
      <c r="C33" s="7">
        <v>695773</v>
      </c>
      <c r="D33" s="7"/>
      <c r="E33" s="7"/>
      <c r="F33" s="7"/>
      <c r="G33" s="6"/>
      <c r="H33" s="7"/>
      <c r="I33" s="7"/>
      <c r="J33" s="7">
        <v>100000</v>
      </c>
      <c r="K33" s="7"/>
      <c r="L33" s="6"/>
      <c r="M33" s="7"/>
      <c r="N33" s="7"/>
      <c r="O33" s="44">
        <f t="shared" si="2"/>
        <v>795773</v>
      </c>
      <c r="P33" s="40"/>
    </row>
    <row r="34" spans="1:16" ht="30" customHeight="1" thickBot="1">
      <c r="A34" s="55" t="s">
        <v>178</v>
      </c>
      <c r="B34" s="46" t="s">
        <v>315</v>
      </c>
      <c r="C34" s="5"/>
      <c r="D34" s="5"/>
      <c r="E34" s="5"/>
      <c r="F34" s="57"/>
      <c r="G34" s="54"/>
      <c r="H34" s="5"/>
      <c r="I34" s="5"/>
      <c r="J34" s="5"/>
      <c r="K34" s="57"/>
      <c r="L34" s="72"/>
      <c r="M34" s="73"/>
      <c r="N34" s="74"/>
      <c r="O34" s="58">
        <f t="shared" si="2"/>
        <v>0</v>
      </c>
      <c r="P34" s="40"/>
    </row>
    <row r="35" spans="1:16" ht="15.75" thickBot="1">
      <c r="A35" s="69" t="s">
        <v>33</v>
      </c>
      <c r="B35" s="36" t="s">
        <v>34</v>
      </c>
      <c r="C35" s="38">
        <f>SUM(C36,C37,C44)</f>
        <v>311437</v>
      </c>
      <c r="D35" s="38">
        <f aca="true" t="shared" si="8" ref="D35:N35">SUM(D36,D37,D44)</f>
        <v>2176793</v>
      </c>
      <c r="E35" s="38">
        <f t="shared" si="8"/>
        <v>157677</v>
      </c>
      <c r="F35" s="38">
        <f t="shared" si="8"/>
        <v>281769</v>
      </c>
      <c r="G35" s="38">
        <f>SUM(G36,G37,G44)</f>
        <v>56200</v>
      </c>
      <c r="H35" s="38">
        <f t="shared" si="8"/>
        <v>99340</v>
      </c>
      <c r="I35" s="38">
        <f t="shared" si="8"/>
        <v>121600</v>
      </c>
      <c r="J35" s="38">
        <f t="shared" si="8"/>
        <v>676278</v>
      </c>
      <c r="K35" s="38">
        <f t="shared" si="8"/>
        <v>10000</v>
      </c>
      <c r="L35" s="38">
        <f t="shared" si="8"/>
        <v>17800</v>
      </c>
      <c r="M35" s="38">
        <f t="shared" si="8"/>
        <v>11500</v>
      </c>
      <c r="N35" s="38">
        <f t="shared" si="8"/>
        <v>43000</v>
      </c>
      <c r="O35" s="39">
        <f>SUM(C35:N35)</f>
        <v>3963394</v>
      </c>
      <c r="P35" s="40"/>
    </row>
    <row r="36" spans="1:16" ht="31.5">
      <c r="A36" s="75" t="s">
        <v>179</v>
      </c>
      <c r="B36" s="76" t="s">
        <v>180</v>
      </c>
      <c r="C36" s="77">
        <v>24678</v>
      </c>
      <c r="D36" s="43"/>
      <c r="E36" s="9"/>
      <c r="F36" s="9"/>
      <c r="G36" s="43"/>
      <c r="H36" s="43"/>
      <c r="I36" s="43"/>
      <c r="J36" s="43"/>
      <c r="K36" s="43"/>
      <c r="L36" s="43"/>
      <c r="M36" s="43"/>
      <c r="N36" s="9"/>
      <c r="O36" s="44">
        <f t="shared" si="2"/>
        <v>24678</v>
      </c>
      <c r="P36" s="40"/>
    </row>
    <row r="37" spans="1:16" ht="43.5">
      <c r="A37" s="78" t="s">
        <v>16</v>
      </c>
      <c r="B37" s="79" t="s">
        <v>196</v>
      </c>
      <c r="C37" s="80">
        <f>SUM(C38:C43)</f>
        <v>286759</v>
      </c>
      <c r="D37" s="80">
        <f aca="true" t="shared" si="9" ref="D37:I37">SUM(D38:D43)</f>
        <v>2175793</v>
      </c>
      <c r="E37" s="80">
        <f t="shared" si="9"/>
        <v>157677</v>
      </c>
      <c r="F37" s="80">
        <f t="shared" si="9"/>
        <v>281769</v>
      </c>
      <c r="G37" s="80">
        <f t="shared" si="9"/>
        <v>56200</v>
      </c>
      <c r="H37" s="81">
        <f t="shared" si="9"/>
        <v>98340</v>
      </c>
      <c r="I37" s="80">
        <f t="shared" si="9"/>
        <v>121600</v>
      </c>
      <c r="J37" s="80">
        <f>SUM(J38:J43)</f>
        <v>676278</v>
      </c>
      <c r="K37" s="80">
        <f>SUM(K38:K43)</f>
        <v>10000</v>
      </c>
      <c r="L37" s="80">
        <f>SUM(L38:L43)</f>
        <v>17800</v>
      </c>
      <c r="M37" s="80">
        <f>SUM(M38:M43)</f>
        <v>11500</v>
      </c>
      <c r="N37" s="81">
        <f>SUM(N38:N43)</f>
        <v>43000</v>
      </c>
      <c r="O37" s="44">
        <f>SUM(C37:N37)</f>
        <v>3936716</v>
      </c>
      <c r="P37" s="40"/>
    </row>
    <row r="38" spans="1:16" ht="30">
      <c r="A38" s="45" t="s">
        <v>393</v>
      </c>
      <c r="B38" s="46" t="s">
        <v>394</v>
      </c>
      <c r="C38" s="82"/>
      <c r="D38" s="82"/>
      <c r="E38" s="81"/>
      <c r="F38" s="83"/>
      <c r="G38" s="80"/>
      <c r="H38" s="81"/>
      <c r="I38" s="80"/>
      <c r="J38" s="65"/>
      <c r="K38" s="80"/>
      <c r="L38" s="81"/>
      <c r="M38" s="80"/>
      <c r="N38" s="81"/>
      <c r="O38" s="44">
        <f t="shared" si="2"/>
        <v>0</v>
      </c>
      <c r="P38" s="40"/>
    </row>
    <row r="39" spans="1:16" ht="15">
      <c r="A39" s="45" t="s">
        <v>169</v>
      </c>
      <c r="B39" s="46" t="s">
        <v>170</v>
      </c>
      <c r="C39" s="3">
        <v>93435</v>
      </c>
      <c r="D39" s="3"/>
      <c r="E39" s="65"/>
      <c r="F39" s="7"/>
      <c r="G39" s="6">
        <v>46500</v>
      </c>
      <c r="H39" s="80"/>
      <c r="I39" s="6">
        <v>6900</v>
      </c>
      <c r="J39" s="6">
        <v>49248</v>
      </c>
      <c r="K39" s="80"/>
      <c r="L39" s="80"/>
      <c r="M39" s="80"/>
      <c r="N39" s="7">
        <v>4000</v>
      </c>
      <c r="O39" s="44">
        <f t="shared" si="2"/>
        <v>200083</v>
      </c>
      <c r="P39" s="40"/>
    </row>
    <row r="40" spans="1:16" ht="15">
      <c r="A40" s="45" t="s">
        <v>145</v>
      </c>
      <c r="B40" s="46" t="s">
        <v>146</v>
      </c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7"/>
      <c r="O40" s="44">
        <f t="shared" si="2"/>
        <v>0</v>
      </c>
      <c r="P40" s="40"/>
    </row>
    <row r="41" spans="1:16" ht="30">
      <c r="A41" s="45" t="s">
        <v>147</v>
      </c>
      <c r="B41" s="46" t="s">
        <v>148</v>
      </c>
      <c r="C41" s="6"/>
      <c r="D41" s="6"/>
      <c r="E41" s="6"/>
      <c r="F41" s="7"/>
      <c r="G41" s="6"/>
      <c r="H41" s="6">
        <v>10</v>
      </c>
      <c r="I41" s="6"/>
      <c r="J41" s="6"/>
      <c r="K41" s="7"/>
      <c r="L41" s="6"/>
      <c r="M41" s="6"/>
      <c r="N41" s="7"/>
      <c r="O41" s="44">
        <f t="shared" si="2"/>
        <v>10</v>
      </c>
      <c r="P41" s="40"/>
    </row>
    <row r="42" spans="1:16" ht="15">
      <c r="A42" s="45" t="s">
        <v>35</v>
      </c>
      <c r="B42" s="46" t="s">
        <v>36</v>
      </c>
      <c r="C42" s="6">
        <v>172900</v>
      </c>
      <c r="D42" s="6">
        <v>37476</v>
      </c>
      <c r="E42" s="6">
        <v>53827</v>
      </c>
      <c r="F42" s="6">
        <v>16589</v>
      </c>
      <c r="G42" s="3">
        <v>4700</v>
      </c>
      <c r="H42" s="6">
        <v>10310</v>
      </c>
      <c r="I42" s="6">
        <v>5780</v>
      </c>
      <c r="J42" s="6">
        <v>19496</v>
      </c>
      <c r="K42" s="7">
        <v>2500</v>
      </c>
      <c r="L42" s="6">
        <v>4000</v>
      </c>
      <c r="M42" s="84">
        <v>3500</v>
      </c>
      <c r="N42" s="50">
        <v>6000</v>
      </c>
      <c r="O42" s="44">
        <f t="shared" si="2"/>
        <v>337078</v>
      </c>
      <c r="P42" s="40"/>
    </row>
    <row r="43" spans="1:16" ht="30">
      <c r="A43" s="45" t="s">
        <v>37</v>
      </c>
      <c r="B43" s="46" t="s">
        <v>38</v>
      </c>
      <c r="C43" s="6">
        <v>20424</v>
      </c>
      <c r="D43" s="6">
        <v>2138317</v>
      </c>
      <c r="E43" s="6">
        <v>103850</v>
      </c>
      <c r="F43" s="6">
        <v>265180</v>
      </c>
      <c r="G43" s="85">
        <v>5000</v>
      </c>
      <c r="H43" s="3">
        <v>88020</v>
      </c>
      <c r="I43" s="6">
        <v>108920</v>
      </c>
      <c r="J43" s="3">
        <v>607534</v>
      </c>
      <c r="K43" s="7">
        <v>7500</v>
      </c>
      <c r="L43" s="6">
        <v>13800</v>
      </c>
      <c r="M43" s="48">
        <v>8000</v>
      </c>
      <c r="N43" s="50">
        <v>33000</v>
      </c>
      <c r="O43" s="44">
        <f>SUM(C43:N43)</f>
        <v>3399545</v>
      </c>
      <c r="P43" s="40"/>
    </row>
    <row r="44" spans="1:16" ht="30" thickBot="1">
      <c r="A44" s="78" t="s">
        <v>293</v>
      </c>
      <c r="B44" s="79" t="s">
        <v>294</v>
      </c>
      <c r="C44" s="68"/>
      <c r="D44" s="68">
        <v>1000</v>
      </c>
      <c r="E44" s="68"/>
      <c r="F44" s="10"/>
      <c r="G44" s="87"/>
      <c r="H44" s="68">
        <v>1000</v>
      </c>
      <c r="I44" s="88"/>
      <c r="J44" s="88"/>
      <c r="K44" s="89"/>
      <c r="L44" s="68"/>
      <c r="M44" s="88"/>
      <c r="N44" s="88"/>
      <c r="O44" s="44">
        <f>SUM(C44:N44)</f>
        <v>2000</v>
      </c>
      <c r="P44" s="40"/>
    </row>
    <row r="45" spans="1:16" ht="15.75" thickBot="1">
      <c r="A45" s="90"/>
      <c r="B45" s="91" t="s">
        <v>39</v>
      </c>
      <c r="C45" s="92">
        <f>SUM(C8+C19+C28+C29+C31+C35)</f>
        <v>41613391</v>
      </c>
      <c r="D45" s="92">
        <f>SUM(D8+D19+D28+D29+D31+D35)</f>
        <v>2176993</v>
      </c>
      <c r="E45" s="92">
        <f aca="true" t="shared" si="10" ref="E45:N45">SUM(E8+E19+E28+E29+E31+E35)</f>
        <v>157677</v>
      </c>
      <c r="F45" s="93">
        <f t="shared" si="10"/>
        <v>281769</v>
      </c>
      <c r="G45" s="92">
        <f t="shared" si="10"/>
        <v>171020</v>
      </c>
      <c r="H45" s="92">
        <f t="shared" si="10"/>
        <v>149800</v>
      </c>
      <c r="I45" s="92">
        <f t="shared" si="10"/>
        <v>166700</v>
      </c>
      <c r="J45" s="92">
        <f t="shared" si="10"/>
        <v>963679</v>
      </c>
      <c r="K45" s="93">
        <f t="shared" si="10"/>
        <v>67000</v>
      </c>
      <c r="L45" s="92">
        <f t="shared" si="10"/>
        <v>76848</v>
      </c>
      <c r="M45" s="92">
        <f t="shared" si="10"/>
        <v>61480</v>
      </c>
      <c r="N45" s="92">
        <f t="shared" si="10"/>
        <v>117170</v>
      </c>
      <c r="O45" s="39">
        <f>SUM(C45:N45)</f>
        <v>46003527</v>
      </c>
      <c r="P45" s="40"/>
    </row>
    <row r="46" spans="1:15" ht="15">
      <c r="A46" s="94" t="s">
        <v>149</v>
      </c>
      <c r="B46" s="95" t="s">
        <v>17</v>
      </c>
      <c r="C46" s="94">
        <f>14121071+6090417</f>
        <v>20211488</v>
      </c>
      <c r="D46" s="43"/>
      <c r="E46" s="43"/>
      <c r="F46" s="9"/>
      <c r="G46" s="43"/>
      <c r="H46" s="43"/>
      <c r="I46" s="43"/>
      <c r="J46" s="43"/>
      <c r="K46" s="9"/>
      <c r="L46" s="43"/>
      <c r="M46" s="9"/>
      <c r="N46" s="15"/>
      <c r="O46" s="61">
        <f t="shared" si="2"/>
        <v>20211488</v>
      </c>
    </row>
    <row r="47" spans="1:15" ht="15">
      <c r="A47" s="96"/>
      <c r="B47" s="97" t="s">
        <v>40</v>
      </c>
      <c r="C47" s="98">
        <f aca="true" t="shared" si="11" ref="C47:N47">SUM(C45:C46)</f>
        <v>61824879</v>
      </c>
      <c r="D47" s="96">
        <f t="shared" si="11"/>
        <v>2176993</v>
      </c>
      <c r="E47" s="96">
        <f t="shared" si="11"/>
        <v>157677</v>
      </c>
      <c r="F47" s="99">
        <f t="shared" si="11"/>
        <v>281769</v>
      </c>
      <c r="G47" s="96">
        <f t="shared" si="11"/>
        <v>171020</v>
      </c>
      <c r="H47" s="96">
        <f t="shared" si="11"/>
        <v>149800</v>
      </c>
      <c r="I47" s="96">
        <f t="shared" si="11"/>
        <v>166700</v>
      </c>
      <c r="J47" s="96">
        <f t="shared" si="11"/>
        <v>963679</v>
      </c>
      <c r="K47" s="99">
        <f t="shared" si="11"/>
        <v>67000</v>
      </c>
      <c r="L47" s="96">
        <f t="shared" si="11"/>
        <v>76848</v>
      </c>
      <c r="M47" s="99">
        <f t="shared" si="11"/>
        <v>61480</v>
      </c>
      <c r="N47" s="96">
        <f t="shared" si="11"/>
        <v>117170</v>
      </c>
      <c r="O47" s="77">
        <f t="shared" si="2"/>
        <v>66215015</v>
      </c>
    </row>
    <row r="48" spans="1:15" ht="18" customHeight="1">
      <c r="A48" s="100" t="s">
        <v>291</v>
      </c>
      <c r="B48" s="101" t="s">
        <v>382</v>
      </c>
      <c r="C48" s="16">
        <v>7128989</v>
      </c>
      <c r="D48" s="102">
        <v>1963554</v>
      </c>
      <c r="E48" s="6">
        <v>228207</v>
      </c>
      <c r="F48" s="6">
        <v>80182</v>
      </c>
      <c r="G48" s="3">
        <v>277425</v>
      </c>
      <c r="H48" s="6">
        <v>56851</v>
      </c>
      <c r="I48" s="6">
        <v>173887</v>
      </c>
      <c r="J48" s="6">
        <v>269676</v>
      </c>
      <c r="K48" s="7">
        <v>106126</v>
      </c>
      <c r="L48" s="6">
        <v>85574</v>
      </c>
      <c r="M48" s="6">
        <v>58235</v>
      </c>
      <c r="N48" s="6">
        <v>68069</v>
      </c>
      <c r="O48" s="77">
        <f t="shared" si="2"/>
        <v>10496775</v>
      </c>
    </row>
    <row r="49" spans="1:15" ht="15">
      <c r="A49" s="100" t="s">
        <v>181</v>
      </c>
      <c r="B49" s="103" t="s">
        <v>182</v>
      </c>
      <c r="C49" s="16"/>
      <c r="D49" s="6"/>
      <c r="E49" s="6"/>
      <c r="F49" s="7"/>
      <c r="G49" s="6"/>
      <c r="H49" s="6"/>
      <c r="I49" s="6"/>
      <c r="J49" s="6"/>
      <c r="K49" s="6"/>
      <c r="L49" s="6"/>
      <c r="M49" s="7"/>
      <c r="N49" s="6"/>
      <c r="O49" s="77">
        <f t="shared" si="2"/>
        <v>0</v>
      </c>
    </row>
    <row r="50" spans="1:15" ht="15">
      <c r="A50" s="96"/>
      <c r="B50" s="101" t="s">
        <v>41</v>
      </c>
      <c r="C50" s="104">
        <f aca="true" t="shared" si="12" ref="C50:O50">SUM(C47:C48)</f>
        <v>68953868</v>
      </c>
      <c r="D50" s="104">
        <f t="shared" si="12"/>
        <v>4140547</v>
      </c>
      <c r="E50" s="104">
        <f t="shared" si="12"/>
        <v>385884</v>
      </c>
      <c r="F50" s="104">
        <f t="shared" si="12"/>
        <v>361951</v>
      </c>
      <c r="G50" s="104">
        <f t="shared" si="12"/>
        <v>448445</v>
      </c>
      <c r="H50" s="104">
        <f t="shared" si="12"/>
        <v>206651</v>
      </c>
      <c r="I50" s="104">
        <f t="shared" si="12"/>
        <v>340587</v>
      </c>
      <c r="J50" s="104">
        <f t="shared" si="12"/>
        <v>1233355</v>
      </c>
      <c r="K50" s="104">
        <f t="shared" si="12"/>
        <v>173126</v>
      </c>
      <c r="L50" s="104">
        <f t="shared" si="12"/>
        <v>162422</v>
      </c>
      <c r="M50" s="104">
        <f t="shared" si="12"/>
        <v>119715</v>
      </c>
      <c r="N50" s="104">
        <f t="shared" si="12"/>
        <v>185239</v>
      </c>
      <c r="O50" s="104">
        <f t="shared" si="12"/>
        <v>76711790</v>
      </c>
    </row>
    <row r="51" spans="1:15" ht="15">
      <c r="A51" s="105"/>
      <c r="B51" s="106"/>
      <c r="C51" s="107"/>
      <c r="D51" s="105"/>
      <c r="E51" s="105"/>
      <c r="F51" s="105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">
      <c r="A52" s="105"/>
      <c r="B52" s="10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8"/>
    </row>
    <row r="53" spans="1:15" ht="15">
      <c r="A53" s="105"/>
      <c r="B53" s="106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ht="15">
      <c r="A54" s="103"/>
      <c r="B54" s="18" t="s">
        <v>290</v>
      </c>
      <c r="C54" s="103"/>
      <c r="D54" s="103"/>
      <c r="E54" s="103" t="s">
        <v>15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11"/>
    </row>
    <row r="55" spans="1:15" ht="15">
      <c r="A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11"/>
    </row>
    <row r="56" spans="1:15" ht="15">
      <c r="A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11"/>
    </row>
  </sheetData>
  <sheetProtection/>
  <mergeCells count="1">
    <mergeCell ref="A5:D5"/>
  </mergeCells>
  <printOptions/>
  <pageMargins left="0.25" right="0.25" top="0.75" bottom="0.75" header="0.3" footer="0.3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tabSelected="1" zoomScale="87" zoomScaleNormal="8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9" sqref="T9"/>
    </sheetView>
  </sheetViews>
  <sheetFormatPr defaultColWidth="9.140625" defaultRowHeight="12.75"/>
  <cols>
    <col min="1" max="1" width="13.28125" style="17" customWidth="1"/>
    <col min="2" max="2" width="41.00390625" style="18" customWidth="1"/>
    <col min="3" max="3" width="12.7109375" style="17" customWidth="1"/>
    <col min="4" max="4" width="13.8515625" style="19" customWidth="1"/>
    <col min="5" max="5" width="10.7109375" style="17" customWidth="1"/>
    <col min="6" max="6" width="11.00390625" style="17" customWidth="1"/>
    <col min="7" max="7" width="10.8515625" style="17" bestFit="1" customWidth="1"/>
    <col min="8" max="8" width="9.7109375" style="17" customWidth="1"/>
    <col min="9" max="9" width="10.421875" style="17" customWidth="1"/>
    <col min="10" max="10" width="11.28125" style="17" customWidth="1"/>
    <col min="11" max="11" width="10.00390625" style="17" customWidth="1"/>
    <col min="12" max="12" width="9.7109375" style="17" customWidth="1"/>
    <col min="13" max="13" width="10.421875" style="17" customWidth="1"/>
    <col min="14" max="14" width="10.28125" style="17" customWidth="1"/>
    <col min="15" max="15" width="13.00390625" style="22" customWidth="1"/>
    <col min="16" max="16" width="8.8515625" style="17" customWidth="1"/>
    <col min="17" max="17" width="9.7109375" style="17" customWidth="1"/>
    <col min="18" max="16384" width="9.140625" style="17" customWidth="1"/>
  </cols>
  <sheetData>
    <row r="1" spans="1:15" ht="15">
      <c r="A1" s="105"/>
      <c r="B1" s="106"/>
      <c r="C1" s="103"/>
      <c r="D1" s="112"/>
      <c r="E1" s="113"/>
      <c r="F1" s="113"/>
      <c r="G1" s="103"/>
      <c r="H1" s="103"/>
      <c r="I1" s="103"/>
      <c r="J1" s="103"/>
      <c r="K1" s="103"/>
      <c r="L1" s="103"/>
      <c r="M1" s="103"/>
      <c r="O1" s="114" t="s">
        <v>120</v>
      </c>
    </row>
    <row r="2" spans="1:15" ht="15">
      <c r="A2" s="105"/>
      <c r="B2" s="106"/>
      <c r="C2" s="103"/>
      <c r="D2" s="103"/>
      <c r="E2" s="115"/>
      <c r="F2" s="115"/>
      <c r="G2" s="103"/>
      <c r="H2" s="103"/>
      <c r="I2" s="103"/>
      <c r="J2" s="103"/>
      <c r="K2" s="103"/>
      <c r="L2" s="103"/>
      <c r="M2" s="103"/>
      <c r="O2" s="114" t="s">
        <v>385</v>
      </c>
    </row>
    <row r="3" spans="1:15" ht="15">
      <c r="A3" s="116"/>
      <c r="B3" s="67"/>
      <c r="C3" s="103"/>
      <c r="D3" s="103"/>
      <c r="E3" s="115"/>
      <c r="F3" s="115"/>
      <c r="G3" s="103"/>
      <c r="H3" s="103"/>
      <c r="I3" s="103"/>
      <c r="J3" s="103"/>
      <c r="K3" s="103"/>
      <c r="L3" s="103"/>
      <c r="M3" s="103"/>
      <c r="O3" s="114" t="s">
        <v>574</v>
      </c>
    </row>
    <row r="4" spans="1:15" ht="15">
      <c r="A4" s="116"/>
      <c r="B4" s="67"/>
      <c r="C4" s="103"/>
      <c r="D4" s="103"/>
      <c r="E4" s="115"/>
      <c r="F4" s="115"/>
      <c r="G4" s="103"/>
      <c r="H4" s="103"/>
      <c r="I4" s="103"/>
      <c r="J4" s="103"/>
      <c r="K4" s="103"/>
      <c r="L4" s="103"/>
      <c r="M4" s="103"/>
      <c r="N4" s="103"/>
      <c r="O4" s="111"/>
    </row>
    <row r="5" spans="1:15" ht="39.75" customHeight="1" thickBot="1">
      <c r="A5" s="2" t="s">
        <v>383</v>
      </c>
      <c r="B5" s="2"/>
      <c r="C5" s="2"/>
      <c r="D5" s="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11"/>
    </row>
    <row r="6" spans="1:17" ht="90.75" thickBot="1">
      <c r="A6" s="117" t="s">
        <v>0</v>
      </c>
      <c r="B6" s="118" t="s">
        <v>140</v>
      </c>
      <c r="C6" s="29" t="s">
        <v>369</v>
      </c>
      <c r="D6" s="119" t="s">
        <v>370</v>
      </c>
      <c r="E6" s="29" t="s">
        <v>371</v>
      </c>
      <c r="F6" s="29" t="s">
        <v>372</v>
      </c>
      <c r="G6" s="120" t="s">
        <v>373</v>
      </c>
      <c r="H6" s="120" t="s">
        <v>374</v>
      </c>
      <c r="I6" s="120" t="s">
        <v>375</v>
      </c>
      <c r="J6" s="120" t="s">
        <v>376</v>
      </c>
      <c r="K6" s="120" t="s">
        <v>377</v>
      </c>
      <c r="L6" s="120" t="s">
        <v>378</v>
      </c>
      <c r="M6" s="120" t="s">
        <v>523</v>
      </c>
      <c r="N6" s="121" t="s">
        <v>380</v>
      </c>
      <c r="O6" s="122" t="s">
        <v>381</v>
      </c>
      <c r="P6" s="34"/>
      <c r="Q6" s="34"/>
    </row>
    <row r="7" spans="1:17" ht="15.75" thickBot="1">
      <c r="A7" s="123" t="s">
        <v>42</v>
      </c>
      <c r="B7" s="36" t="s">
        <v>43</v>
      </c>
      <c r="C7" s="38">
        <f>C8+C9+C10+C12+C13+C17</f>
        <v>4500101</v>
      </c>
      <c r="D7" s="38">
        <f aca="true" t="shared" si="0" ref="D7:N7">D8+D9+D10+D12+D13+D17</f>
        <v>0</v>
      </c>
      <c r="E7" s="38">
        <f t="shared" si="0"/>
        <v>0</v>
      </c>
      <c r="F7" s="38">
        <f t="shared" si="0"/>
        <v>0</v>
      </c>
      <c r="G7" s="38">
        <f t="shared" si="0"/>
        <v>122455</v>
      </c>
      <c r="H7" s="38">
        <f t="shared" si="0"/>
        <v>71441</v>
      </c>
      <c r="I7" s="38">
        <f t="shared" si="0"/>
        <v>120183</v>
      </c>
      <c r="J7" s="38">
        <f t="shared" si="0"/>
        <v>159175</v>
      </c>
      <c r="K7" s="38">
        <f t="shared" si="0"/>
        <v>111380</v>
      </c>
      <c r="L7" s="38">
        <f t="shared" si="0"/>
        <v>62606</v>
      </c>
      <c r="M7" s="38">
        <f t="shared" si="0"/>
        <v>67076</v>
      </c>
      <c r="N7" s="38">
        <f t="shared" si="0"/>
        <v>101370</v>
      </c>
      <c r="O7" s="39">
        <f>SUM(C7:N7)</f>
        <v>5315787</v>
      </c>
      <c r="P7" s="40"/>
      <c r="Q7" s="40"/>
    </row>
    <row r="8" spans="1:16" ht="29.25">
      <c r="A8" s="125" t="s">
        <v>275</v>
      </c>
      <c r="B8" s="126" t="s">
        <v>204</v>
      </c>
      <c r="C8" s="127">
        <f>2615955+5527</f>
        <v>2621482</v>
      </c>
      <c r="D8" s="43"/>
      <c r="E8" s="43"/>
      <c r="F8" s="15"/>
      <c r="G8" s="61">
        <v>122455</v>
      </c>
      <c r="H8" s="128">
        <v>71441</v>
      </c>
      <c r="I8" s="61">
        <v>117603</v>
      </c>
      <c r="J8" s="128">
        <v>153624</v>
      </c>
      <c r="K8" s="61">
        <v>111380</v>
      </c>
      <c r="L8" s="61">
        <v>62606</v>
      </c>
      <c r="M8" s="61">
        <v>67076</v>
      </c>
      <c r="N8" s="129">
        <v>101370</v>
      </c>
      <c r="O8" s="130">
        <f>SUM(C8:N8)</f>
        <v>3429037</v>
      </c>
      <c r="P8" s="40"/>
    </row>
    <row r="9" spans="1:16" ht="29.25">
      <c r="A9" s="131" t="s">
        <v>395</v>
      </c>
      <c r="B9" s="126" t="s">
        <v>396</v>
      </c>
      <c r="C9" s="127">
        <v>150893</v>
      </c>
      <c r="D9" s="9"/>
      <c r="E9" s="43"/>
      <c r="F9" s="9"/>
      <c r="G9" s="77"/>
      <c r="H9" s="77"/>
      <c r="I9" s="77"/>
      <c r="J9" s="129"/>
      <c r="K9" s="127"/>
      <c r="L9" s="127"/>
      <c r="M9" s="80"/>
      <c r="N9" s="129"/>
      <c r="O9" s="44">
        <f>SUM(C9:N9)</f>
        <v>150893</v>
      </c>
      <c r="P9" s="40"/>
    </row>
    <row r="10" spans="1:16" ht="15">
      <c r="A10" s="132" t="s">
        <v>44</v>
      </c>
      <c r="B10" s="79" t="s">
        <v>45</v>
      </c>
      <c r="C10" s="83">
        <f>SUM(C11:C11)</f>
        <v>232220</v>
      </c>
      <c r="D10" s="83">
        <f>SUM(D11:D11)</f>
        <v>0</v>
      </c>
      <c r="E10" s="80"/>
      <c r="F10" s="83"/>
      <c r="G10" s="80">
        <f aca="true" t="shared" si="1" ref="G10:N10">SUM(G11:G11)</f>
        <v>0</v>
      </c>
      <c r="H10" s="80">
        <f t="shared" si="1"/>
        <v>0</v>
      </c>
      <c r="I10" s="80">
        <f t="shared" si="1"/>
        <v>0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133">
        <f aca="true" t="shared" si="2" ref="O10:O89">SUM(C10:N10)</f>
        <v>232220</v>
      </c>
      <c r="P10" s="40"/>
    </row>
    <row r="11" spans="1:16" ht="30">
      <c r="A11" s="45" t="s">
        <v>46</v>
      </c>
      <c r="B11" s="46" t="s">
        <v>112</v>
      </c>
      <c r="C11" s="7">
        <f>152220+80000</f>
        <v>232220</v>
      </c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133">
        <f t="shared" si="2"/>
        <v>232220</v>
      </c>
      <c r="P11" s="40"/>
    </row>
    <row r="12" spans="1:16" ht="29.25">
      <c r="A12" s="132" t="s">
        <v>205</v>
      </c>
      <c r="B12" s="134" t="s">
        <v>206</v>
      </c>
      <c r="C12" s="7"/>
      <c r="D12" s="7"/>
      <c r="E12" s="6"/>
      <c r="F12" s="7"/>
      <c r="G12" s="6"/>
      <c r="H12" s="6"/>
      <c r="I12" s="6"/>
      <c r="J12" s="7"/>
      <c r="K12" s="7"/>
      <c r="L12" s="7"/>
      <c r="M12" s="7"/>
      <c r="N12" s="7"/>
      <c r="O12" s="133">
        <f t="shared" si="2"/>
        <v>0</v>
      </c>
      <c r="P12" s="40"/>
    </row>
    <row r="13" spans="1:16" ht="29.25">
      <c r="A13" s="132" t="s">
        <v>47</v>
      </c>
      <c r="B13" s="134" t="s">
        <v>48</v>
      </c>
      <c r="C13" s="83">
        <f>SUM(C14:C16)</f>
        <v>895506</v>
      </c>
      <c r="D13" s="83">
        <f aca="true" t="shared" si="3" ref="D13:N13">SUM(D14:D16)</f>
        <v>0</v>
      </c>
      <c r="E13" s="83">
        <f t="shared" si="3"/>
        <v>0</v>
      </c>
      <c r="F13" s="83">
        <f t="shared" si="3"/>
        <v>0</v>
      </c>
      <c r="G13" s="80">
        <f t="shared" si="3"/>
        <v>0</v>
      </c>
      <c r="H13" s="83">
        <f t="shared" si="3"/>
        <v>0</v>
      </c>
      <c r="I13" s="83">
        <f t="shared" si="3"/>
        <v>0</v>
      </c>
      <c r="J13" s="83">
        <f t="shared" si="3"/>
        <v>0</v>
      </c>
      <c r="K13" s="83">
        <f t="shared" si="3"/>
        <v>0</v>
      </c>
      <c r="L13" s="83">
        <f t="shared" si="3"/>
        <v>0</v>
      </c>
      <c r="M13" s="83">
        <f t="shared" si="3"/>
        <v>0</v>
      </c>
      <c r="N13" s="83">
        <f t="shared" si="3"/>
        <v>0</v>
      </c>
      <c r="O13" s="133">
        <f>SUM(C13:N13)</f>
        <v>895506</v>
      </c>
      <c r="P13" s="40"/>
    </row>
    <row r="14" spans="1:16" ht="30">
      <c r="A14" s="135" t="s">
        <v>319</v>
      </c>
      <c r="B14" s="46" t="s">
        <v>49</v>
      </c>
      <c r="C14" s="7">
        <v>600000</v>
      </c>
      <c r="D14" s="6"/>
      <c r="E14" s="6"/>
      <c r="F14" s="7"/>
      <c r="G14" s="6"/>
      <c r="H14" s="6"/>
      <c r="I14" s="6"/>
      <c r="J14" s="6"/>
      <c r="K14" s="6"/>
      <c r="L14" s="6"/>
      <c r="M14" s="6"/>
      <c r="N14" s="7"/>
      <c r="O14" s="133">
        <f t="shared" si="2"/>
        <v>600000</v>
      </c>
      <c r="P14" s="40"/>
    </row>
    <row r="15" spans="1:16" ht="30">
      <c r="A15" s="135" t="s">
        <v>320</v>
      </c>
      <c r="B15" s="46" t="s">
        <v>317</v>
      </c>
      <c r="C15" s="7">
        <v>145506</v>
      </c>
      <c r="D15" s="6"/>
      <c r="E15" s="6"/>
      <c r="F15" s="7"/>
      <c r="G15" s="6"/>
      <c r="H15" s="6"/>
      <c r="I15" s="6"/>
      <c r="J15" s="6"/>
      <c r="K15" s="6"/>
      <c r="L15" s="6"/>
      <c r="M15" s="6"/>
      <c r="N15" s="7">
        <f>12000-12000</f>
        <v>0</v>
      </c>
      <c r="O15" s="133">
        <f t="shared" si="2"/>
        <v>145506</v>
      </c>
      <c r="P15" s="40"/>
    </row>
    <row r="16" spans="1:16" ht="45">
      <c r="A16" s="135" t="s">
        <v>321</v>
      </c>
      <c r="B16" s="56" t="s">
        <v>283</v>
      </c>
      <c r="C16" s="57">
        <v>150000</v>
      </c>
      <c r="D16" s="5"/>
      <c r="E16" s="5"/>
      <c r="F16" s="57"/>
      <c r="G16" s="5"/>
      <c r="H16" s="5"/>
      <c r="I16" s="5"/>
      <c r="J16" s="5"/>
      <c r="K16" s="5"/>
      <c r="L16" s="5"/>
      <c r="M16" s="5"/>
      <c r="N16" s="57"/>
      <c r="O16" s="133">
        <f t="shared" si="2"/>
        <v>150000</v>
      </c>
      <c r="P16" s="40"/>
    </row>
    <row r="17" spans="1:17" s="22" customFormat="1" ht="15.75" thickBot="1">
      <c r="A17" s="136" t="s">
        <v>50</v>
      </c>
      <c r="B17" s="137" t="s">
        <v>207</v>
      </c>
      <c r="C17" s="8">
        <v>600000</v>
      </c>
      <c r="D17" s="138"/>
      <c r="E17" s="138"/>
      <c r="F17" s="8"/>
      <c r="G17" s="139"/>
      <c r="H17" s="138"/>
      <c r="I17" s="138">
        <v>2580</v>
      </c>
      <c r="J17" s="138">
        <v>5551</v>
      </c>
      <c r="K17" s="138"/>
      <c r="L17" s="138"/>
      <c r="M17" s="138"/>
      <c r="N17" s="8"/>
      <c r="O17" s="140">
        <f t="shared" si="2"/>
        <v>608131</v>
      </c>
      <c r="P17" s="40"/>
      <c r="Q17" s="40"/>
    </row>
    <row r="18" spans="1:17" ht="15.75" thickBot="1">
      <c r="A18" s="69" t="s">
        <v>51</v>
      </c>
      <c r="B18" s="36" t="s">
        <v>52</v>
      </c>
      <c r="C18" s="38">
        <f>SUM(C19:C20,C22:C23)</f>
        <v>860035</v>
      </c>
      <c r="D18" s="38">
        <f aca="true" t="shared" si="4" ref="D18:N18">SUM(D19:D20,D22:D23)</f>
        <v>0</v>
      </c>
      <c r="E18" s="38">
        <f t="shared" si="4"/>
        <v>0</v>
      </c>
      <c r="F18" s="38">
        <f t="shared" si="4"/>
        <v>0</v>
      </c>
      <c r="G18" s="38">
        <f t="shared" si="4"/>
        <v>5741</v>
      </c>
      <c r="H18" s="38">
        <f t="shared" si="4"/>
        <v>0</v>
      </c>
      <c r="I18" s="38">
        <f t="shared" si="4"/>
        <v>0</v>
      </c>
      <c r="J18" s="38">
        <f t="shared" si="4"/>
        <v>5200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700</v>
      </c>
      <c r="O18" s="39">
        <f t="shared" si="2"/>
        <v>871676</v>
      </c>
      <c r="P18" s="40"/>
      <c r="Q18" s="40"/>
    </row>
    <row r="19" spans="1:16" ht="15">
      <c r="A19" s="125" t="s">
        <v>203</v>
      </c>
      <c r="B19" s="126" t="s">
        <v>13</v>
      </c>
      <c r="C19" s="9">
        <v>562875</v>
      </c>
      <c r="D19" s="43"/>
      <c r="E19" s="43"/>
      <c r="F19" s="9"/>
      <c r="G19" s="43"/>
      <c r="H19" s="43"/>
      <c r="I19" s="43"/>
      <c r="J19" s="43"/>
      <c r="K19" s="43"/>
      <c r="L19" s="43"/>
      <c r="M19" s="43"/>
      <c r="N19" s="9"/>
      <c r="O19" s="130">
        <f t="shared" si="2"/>
        <v>562875</v>
      </c>
      <c r="P19" s="40"/>
    </row>
    <row r="20" spans="1:16" ht="29.25">
      <c r="A20" s="141" t="s">
        <v>284</v>
      </c>
      <c r="B20" s="86" t="s">
        <v>285</v>
      </c>
      <c r="C20" s="83">
        <f aca="true" t="shared" si="5" ref="C20:N20">SUM(C21:C21)</f>
        <v>204130</v>
      </c>
      <c r="D20" s="83">
        <f t="shared" si="5"/>
        <v>0</v>
      </c>
      <c r="E20" s="83">
        <f t="shared" si="5"/>
        <v>0</v>
      </c>
      <c r="F20" s="83">
        <f t="shared" si="5"/>
        <v>0</v>
      </c>
      <c r="G20" s="83">
        <f t="shared" si="5"/>
        <v>0</v>
      </c>
      <c r="H20" s="83">
        <f t="shared" si="5"/>
        <v>0</v>
      </c>
      <c r="I20" s="83">
        <f t="shared" si="5"/>
        <v>0</v>
      </c>
      <c r="J20" s="83">
        <f t="shared" si="5"/>
        <v>0</v>
      </c>
      <c r="K20" s="83">
        <f t="shared" si="5"/>
        <v>0</v>
      </c>
      <c r="L20" s="83">
        <f t="shared" si="5"/>
        <v>0</v>
      </c>
      <c r="M20" s="83">
        <f t="shared" si="5"/>
        <v>0</v>
      </c>
      <c r="N20" s="142">
        <f t="shared" si="5"/>
        <v>0</v>
      </c>
      <c r="O20" s="44">
        <f>SUM(C20:N20)</f>
        <v>204130</v>
      </c>
      <c r="P20" s="40"/>
    </row>
    <row r="21" spans="1:16" ht="30">
      <c r="A21" s="143" t="s">
        <v>322</v>
      </c>
      <c r="B21" s="144" t="s">
        <v>397</v>
      </c>
      <c r="C21" s="10">
        <f>200000+4130</f>
        <v>204130</v>
      </c>
      <c r="D21" s="68"/>
      <c r="E21" s="68"/>
      <c r="F21" s="10"/>
      <c r="G21" s="68"/>
      <c r="H21" s="68"/>
      <c r="I21" s="68"/>
      <c r="J21" s="68"/>
      <c r="K21" s="68"/>
      <c r="L21" s="68"/>
      <c r="M21" s="68"/>
      <c r="N21" s="10"/>
      <c r="O21" s="133">
        <f t="shared" si="2"/>
        <v>204130</v>
      </c>
      <c r="P21" s="40"/>
    </row>
    <row r="22" spans="1:16" s="22" customFormat="1" ht="29.25">
      <c r="A22" s="145" t="s">
        <v>526</v>
      </c>
      <c r="B22" s="79" t="s">
        <v>208</v>
      </c>
      <c r="C22" s="80">
        <v>33030</v>
      </c>
      <c r="D22" s="80"/>
      <c r="E22" s="80"/>
      <c r="F22" s="83"/>
      <c r="G22" s="80">
        <v>5741</v>
      </c>
      <c r="H22" s="80"/>
      <c r="I22" s="80"/>
      <c r="J22" s="80">
        <v>5200</v>
      </c>
      <c r="K22" s="80"/>
      <c r="L22" s="80"/>
      <c r="M22" s="80"/>
      <c r="N22" s="142">
        <v>700</v>
      </c>
      <c r="O22" s="133">
        <f t="shared" si="2"/>
        <v>44671</v>
      </c>
      <c r="P22" s="40"/>
    </row>
    <row r="23" spans="1:16" s="22" customFormat="1" ht="15.75" thickBot="1">
      <c r="A23" s="146" t="s">
        <v>398</v>
      </c>
      <c r="B23" s="147" t="s">
        <v>399</v>
      </c>
      <c r="C23" s="148">
        <v>60000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33">
        <f t="shared" si="2"/>
        <v>60000</v>
      </c>
      <c r="P23" s="40"/>
    </row>
    <row r="24" spans="1:17" ht="15.75" thickBot="1">
      <c r="A24" s="69" t="s">
        <v>8</v>
      </c>
      <c r="B24" s="36" t="s">
        <v>53</v>
      </c>
      <c r="C24" s="38">
        <f aca="true" t="shared" si="6" ref="C24:N24">SUM(C25,C32,C35:C37,C69,C71)</f>
        <v>10802689</v>
      </c>
      <c r="D24" s="38">
        <f t="shared" si="6"/>
        <v>119966</v>
      </c>
      <c r="E24" s="38">
        <f t="shared" si="6"/>
        <v>0</v>
      </c>
      <c r="F24" s="38">
        <f t="shared" si="6"/>
        <v>0</v>
      </c>
      <c r="G24" s="38">
        <f t="shared" si="6"/>
        <v>157991</v>
      </c>
      <c r="H24" s="38">
        <f t="shared" si="6"/>
        <v>51763</v>
      </c>
      <c r="I24" s="38">
        <f t="shared" si="6"/>
        <v>60615</v>
      </c>
      <c r="J24" s="38">
        <f t="shared" si="6"/>
        <v>159643</v>
      </c>
      <c r="K24" s="38">
        <f t="shared" si="6"/>
        <v>38178</v>
      </c>
      <c r="L24" s="38">
        <f t="shared" si="6"/>
        <v>50439</v>
      </c>
      <c r="M24" s="38">
        <f t="shared" si="6"/>
        <v>32238</v>
      </c>
      <c r="N24" s="38">
        <f t="shared" si="6"/>
        <v>47860</v>
      </c>
      <c r="O24" s="39">
        <f>SUM(C24:N24)</f>
        <v>11521382</v>
      </c>
      <c r="P24" s="40"/>
      <c r="Q24" s="40"/>
    </row>
    <row r="25" spans="1:17" ht="15">
      <c r="A25" s="125" t="s">
        <v>110</v>
      </c>
      <c r="B25" s="77" t="s">
        <v>111</v>
      </c>
      <c r="C25" s="127">
        <f aca="true" t="shared" si="7" ref="C25:N25">SUM(C26:C31)</f>
        <v>205694</v>
      </c>
      <c r="D25" s="127">
        <f t="shared" si="7"/>
        <v>0</v>
      </c>
      <c r="E25" s="127">
        <f t="shared" si="7"/>
        <v>0</v>
      </c>
      <c r="F25" s="127">
        <f t="shared" si="7"/>
        <v>0</v>
      </c>
      <c r="G25" s="77">
        <f t="shared" si="7"/>
        <v>0</v>
      </c>
      <c r="H25" s="127">
        <f t="shared" si="7"/>
        <v>0</v>
      </c>
      <c r="I25" s="127">
        <f t="shared" si="7"/>
        <v>0</v>
      </c>
      <c r="J25" s="127">
        <f t="shared" si="7"/>
        <v>0</v>
      </c>
      <c r="K25" s="127">
        <f t="shared" si="7"/>
        <v>0</v>
      </c>
      <c r="L25" s="127">
        <f t="shared" si="7"/>
        <v>0</v>
      </c>
      <c r="M25" s="127">
        <f t="shared" si="7"/>
        <v>0</v>
      </c>
      <c r="N25" s="127">
        <f t="shared" si="7"/>
        <v>0</v>
      </c>
      <c r="O25" s="130">
        <f aca="true" t="shared" si="8" ref="O25:O34">SUM(C25:N25)</f>
        <v>205694</v>
      </c>
      <c r="P25" s="40"/>
      <c r="Q25" s="40"/>
    </row>
    <row r="26" spans="1:16" ht="15">
      <c r="A26" s="149" t="s">
        <v>209</v>
      </c>
      <c r="B26" s="43" t="s">
        <v>210</v>
      </c>
      <c r="C26" s="9">
        <v>10000</v>
      </c>
      <c r="D26" s="43"/>
      <c r="E26" s="43"/>
      <c r="F26" s="9"/>
      <c r="G26" s="43"/>
      <c r="H26" s="43"/>
      <c r="I26" s="43"/>
      <c r="J26" s="43"/>
      <c r="K26" s="43"/>
      <c r="L26" s="43"/>
      <c r="M26" s="43"/>
      <c r="N26" s="9"/>
      <c r="O26" s="150">
        <f t="shared" si="8"/>
        <v>10000</v>
      </c>
      <c r="P26" s="40"/>
    </row>
    <row r="27" spans="1:16" ht="30">
      <c r="A27" s="149" t="s">
        <v>323</v>
      </c>
      <c r="B27" s="151" t="s">
        <v>324</v>
      </c>
      <c r="C27" s="9">
        <v>80694</v>
      </c>
      <c r="D27" s="43"/>
      <c r="E27" s="43"/>
      <c r="F27" s="9"/>
      <c r="G27" s="43"/>
      <c r="H27" s="43"/>
      <c r="I27" s="43"/>
      <c r="J27" s="43"/>
      <c r="K27" s="43"/>
      <c r="L27" s="43"/>
      <c r="M27" s="43"/>
      <c r="N27" s="9"/>
      <c r="O27" s="152">
        <f t="shared" si="8"/>
        <v>80694</v>
      </c>
      <c r="P27" s="40"/>
    </row>
    <row r="28" spans="1:16" ht="15">
      <c r="A28" s="149" t="s">
        <v>325</v>
      </c>
      <c r="B28" s="153" t="s">
        <v>326</v>
      </c>
      <c r="C28" s="9">
        <v>5000</v>
      </c>
      <c r="D28" s="43"/>
      <c r="E28" s="43"/>
      <c r="F28" s="9"/>
      <c r="G28" s="43"/>
      <c r="H28" s="43"/>
      <c r="I28" s="43"/>
      <c r="J28" s="43"/>
      <c r="K28" s="43"/>
      <c r="L28" s="43"/>
      <c r="M28" s="43"/>
      <c r="N28" s="9"/>
      <c r="O28" s="152">
        <f t="shared" si="8"/>
        <v>5000</v>
      </c>
      <c r="P28" s="40"/>
    </row>
    <row r="29" spans="1:16" ht="30">
      <c r="A29" s="154" t="s">
        <v>295</v>
      </c>
      <c r="B29" s="155" t="s">
        <v>327</v>
      </c>
      <c r="C29" s="9"/>
      <c r="D29" s="43"/>
      <c r="E29" s="43"/>
      <c r="F29" s="9"/>
      <c r="G29" s="43"/>
      <c r="H29" s="43"/>
      <c r="I29" s="43"/>
      <c r="J29" s="43"/>
      <c r="K29" s="43"/>
      <c r="L29" s="43"/>
      <c r="M29" s="43"/>
      <c r="N29" s="9"/>
      <c r="O29" s="152">
        <f t="shared" si="8"/>
        <v>0</v>
      </c>
      <c r="P29" s="40"/>
    </row>
    <row r="30" spans="1:16" ht="15">
      <c r="A30" s="154" t="s">
        <v>400</v>
      </c>
      <c r="B30" s="155" t="s">
        <v>401</v>
      </c>
      <c r="C30" s="9">
        <v>110000</v>
      </c>
      <c r="D30" s="43"/>
      <c r="E30" s="43"/>
      <c r="F30" s="9"/>
      <c r="G30" s="43"/>
      <c r="H30" s="43"/>
      <c r="I30" s="43"/>
      <c r="J30" s="43"/>
      <c r="K30" s="43"/>
      <c r="L30" s="43"/>
      <c r="M30" s="43"/>
      <c r="N30" s="9"/>
      <c r="O30" s="152">
        <f t="shared" si="8"/>
        <v>110000</v>
      </c>
      <c r="P30" s="40"/>
    </row>
    <row r="31" spans="1:16" ht="15">
      <c r="A31" s="154" t="s">
        <v>402</v>
      </c>
      <c r="B31" s="156" t="s">
        <v>403</v>
      </c>
      <c r="C31" s="9"/>
      <c r="D31" s="43"/>
      <c r="E31" s="43"/>
      <c r="F31" s="9"/>
      <c r="G31" s="43"/>
      <c r="H31" s="43"/>
      <c r="I31" s="43"/>
      <c r="J31" s="43"/>
      <c r="K31" s="43"/>
      <c r="L31" s="43"/>
      <c r="M31" s="43"/>
      <c r="N31" s="9"/>
      <c r="O31" s="152">
        <f t="shared" si="8"/>
        <v>0</v>
      </c>
      <c r="P31" s="40"/>
    </row>
    <row r="32" spans="1:16" ht="15">
      <c r="A32" s="132" t="s">
        <v>54</v>
      </c>
      <c r="B32" s="79" t="s">
        <v>211</v>
      </c>
      <c r="C32" s="83">
        <f aca="true" t="shared" si="9" ref="C32:N32">SUM(C33:C34)</f>
        <v>536668</v>
      </c>
      <c r="D32" s="83">
        <f t="shared" si="9"/>
        <v>0</v>
      </c>
      <c r="E32" s="83">
        <f t="shared" si="9"/>
        <v>0</v>
      </c>
      <c r="F32" s="83">
        <f t="shared" si="9"/>
        <v>0</v>
      </c>
      <c r="G32" s="83">
        <f t="shared" si="9"/>
        <v>0</v>
      </c>
      <c r="H32" s="83">
        <f t="shared" si="9"/>
        <v>0</v>
      </c>
      <c r="I32" s="83">
        <f t="shared" si="9"/>
        <v>0</v>
      </c>
      <c r="J32" s="83">
        <f t="shared" si="9"/>
        <v>0</v>
      </c>
      <c r="K32" s="83">
        <f t="shared" si="9"/>
        <v>0</v>
      </c>
      <c r="L32" s="83">
        <f t="shared" si="9"/>
        <v>0</v>
      </c>
      <c r="M32" s="83">
        <f t="shared" si="9"/>
        <v>0</v>
      </c>
      <c r="N32" s="83">
        <f t="shared" si="9"/>
        <v>0</v>
      </c>
      <c r="O32" s="133">
        <f>SUM(C32:N32)</f>
        <v>536668</v>
      </c>
      <c r="P32" s="40"/>
    </row>
    <row r="33" spans="1:16" ht="64.5" customHeight="1">
      <c r="A33" s="149" t="s">
        <v>296</v>
      </c>
      <c r="B33" s="11" t="s">
        <v>404</v>
      </c>
      <c r="C33" s="9">
        <v>24000</v>
      </c>
      <c r="D33" s="80"/>
      <c r="E33" s="80"/>
      <c r="F33" s="83"/>
      <c r="G33" s="6"/>
      <c r="H33" s="6"/>
      <c r="I33" s="6"/>
      <c r="J33" s="6"/>
      <c r="K33" s="6"/>
      <c r="L33" s="6"/>
      <c r="M33" s="6"/>
      <c r="N33" s="7"/>
      <c r="O33" s="152">
        <f t="shared" si="8"/>
        <v>24000</v>
      </c>
      <c r="P33" s="40"/>
    </row>
    <row r="34" spans="1:16" ht="75">
      <c r="A34" s="149" t="s">
        <v>297</v>
      </c>
      <c r="B34" s="157" t="s">
        <v>318</v>
      </c>
      <c r="C34" s="9">
        <v>512668</v>
      </c>
      <c r="D34" s="80"/>
      <c r="E34" s="80"/>
      <c r="F34" s="83"/>
      <c r="G34" s="6"/>
      <c r="H34" s="6"/>
      <c r="I34" s="6"/>
      <c r="J34" s="6"/>
      <c r="K34" s="6"/>
      <c r="L34" s="6"/>
      <c r="M34" s="6"/>
      <c r="N34" s="7"/>
      <c r="O34" s="152">
        <f t="shared" si="8"/>
        <v>512668</v>
      </c>
      <c r="P34" s="40"/>
    </row>
    <row r="35" spans="1:16" ht="15">
      <c r="A35" s="125" t="s">
        <v>108</v>
      </c>
      <c r="B35" s="126" t="s">
        <v>109</v>
      </c>
      <c r="C35" s="127"/>
      <c r="D35" s="6"/>
      <c r="E35" s="6"/>
      <c r="F35" s="7"/>
      <c r="G35" s="6"/>
      <c r="H35" s="6"/>
      <c r="I35" s="6"/>
      <c r="J35" s="6"/>
      <c r="K35" s="6">
        <v>400</v>
      </c>
      <c r="L35" s="6"/>
      <c r="M35" s="6"/>
      <c r="N35" s="7"/>
      <c r="O35" s="133">
        <f t="shared" si="2"/>
        <v>400</v>
      </c>
      <c r="P35" s="40"/>
    </row>
    <row r="36" spans="1:16" ht="15">
      <c r="A36" s="125" t="s">
        <v>328</v>
      </c>
      <c r="B36" s="126" t="s">
        <v>150</v>
      </c>
      <c r="C36" s="127">
        <v>266745</v>
      </c>
      <c r="D36" s="7"/>
      <c r="E36" s="6"/>
      <c r="F36" s="7"/>
      <c r="G36" s="6"/>
      <c r="H36" s="6"/>
      <c r="I36" s="6"/>
      <c r="J36" s="6"/>
      <c r="K36" s="7"/>
      <c r="L36" s="7"/>
      <c r="M36" s="7"/>
      <c r="N36" s="7"/>
      <c r="O36" s="133">
        <f t="shared" si="2"/>
        <v>266745</v>
      </c>
      <c r="P36" s="40"/>
    </row>
    <row r="37" spans="1:17" ht="15">
      <c r="A37" s="132" t="s">
        <v>55</v>
      </c>
      <c r="B37" s="79" t="s">
        <v>56</v>
      </c>
      <c r="C37" s="83">
        <f>SUM(C38:C68)</f>
        <v>9684602</v>
      </c>
      <c r="D37" s="83">
        <f aca="true" t="shared" si="10" ref="D37:N37">SUM(D38:D68)</f>
        <v>119966</v>
      </c>
      <c r="E37" s="83">
        <f t="shared" si="10"/>
        <v>0</v>
      </c>
      <c r="F37" s="83">
        <f t="shared" si="10"/>
        <v>0</v>
      </c>
      <c r="G37" s="83">
        <f t="shared" si="10"/>
        <v>157991</v>
      </c>
      <c r="H37" s="83">
        <f t="shared" si="10"/>
        <v>51763</v>
      </c>
      <c r="I37" s="83">
        <f t="shared" si="10"/>
        <v>60615</v>
      </c>
      <c r="J37" s="83">
        <f t="shared" si="10"/>
        <v>159643</v>
      </c>
      <c r="K37" s="83">
        <f t="shared" si="10"/>
        <v>37778</v>
      </c>
      <c r="L37" s="83">
        <f t="shared" si="10"/>
        <v>50439</v>
      </c>
      <c r="M37" s="83">
        <f t="shared" si="10"/>
        <v>32238</v>
      </c>
      <c r="N37" s="83">
        <f t="shared" si="10"/>
        <v>47860</v>
      </c>
      <c r="O37" s="133">
        <f t="shared" si="2"/>
        <v>10402895</v>
      </c>
      <c r="P37" s="40"/>
      <c r="Q37" s="40"/>
    </row>
    <row r="38" spans="1:16" ht="30">
      <c r="A38" s="158" t="s">
        <v>405</v>
      </c>
      <c r="B38" s="46" t="s">
        <v>573</v>
      </c>
      <c r="C38" s="7">
        <v>1507312</v>
      </c>
      <c r="D38" s="6"/>
      <c r="E38" s="6"/>
      <c r="F38" s="7"/>
      <c r="G38" s="6"/>
      <c r="H38" s="6">
        <v>35247</v>
      </c>
      <c r="I38" s="6">
        <v>47757</v>
      </c>
      <c r="J38" s="6">
        <v>69724</v>
      </c>
      <c r="K38" s="6">
        <v>37778</v>
      </c>
      <c r="L38" s="6">
        <v>50439</v>
      </c>
      <c r="M38" s="84">
        <v>32238</v>
      </c>
      <c r="N38" s="7"/>
      <c r="O38" s="133">
        <f t="shared" si="2"/>
        <v>1780495</v>
      </c>
      <c r="P38" s="40"/>
    </row>
    <row r="39" spans="1:16" ht="30">
      <c r="A39" s="45" t="s">
        <v>406</v>
      </c>
      <c r="B39" s="14" t="s">
        <v>407</v>
      </c>
      <c r="C39" s="7"/>
      <c r="D39" s="6"/>
      <c r="E39" s="6"/>
      <c r="F39" s="7"/>
      <c r="G39" s="6"/>
      <c r="H39" s="6"/>
      <c r="I39" s="6"/>
      <c r="J39" s="6"/>
      <c r="K39" s="6"/>
      <c r="L39" s="6"/>
      <c r="M39" s="6"/>
      <c r="N39" s="65"/>
      <c r="O39" s="133">
        <f t="shared" si="2"/>
        <v>0</v>
      </c>
      <c r="P39" s="40"/>
    </row>
    <row r="40" spans="1:16" ht="30">
      <c r="A40" s="45" t="s">
        <v>408</v>
      </c>
      <c r="B40" s="159" t="s">
        <v>409</v>
      </c>
      <c r="C40" s="7"/>
      <c r="D40" s="6"/>
      <c r="E40" s="6"/>
      <c r="F40" s="7"/>
      <c r="G40" s="6"/>
      <c r="H40" s="6"/>
      <c r="I40" s="6"/>
      <c r="J40" s="6"/>
      <c r="K40" s="6"/>
      <c r="L40" s="6"/>
      <c r="M40" s="6"/>
      <c r="N40" s="65"/>
      <c r="O40" s="133">
        <f t="shared" si="2"/>
        <v>0</v>
      </c>
      <c r="P40" s="40"/>
    </row>
    <row r="41" spans="1:16" ht="15">
      <c r="A41" s="45" t="s">
        <v>212</v>
      </c>
      <c r="B41" s="160" t="s">
        <v>273</v>
      </c>
      <c r="C41" s="7"/>
      <c r="D41" s="6">
        <v>119966</v>
      </c>
      <c r="E41" s="6"/>
      <c r="F41" s="7"/>
      <c r="G41" s="6">
        <v>157991</v>
      </c>
      <c r="H41" s="6">
        <v>16516</v>
      </c>
      <c r="I41" s="6">
        <v>12858</v>
      </c>
      <c r="J41" s="6">
        <v>54998</v>
      </c>
      <c r="K41" s="6"/>
      <c r="L41" s="6"/>
      <c r="M41" s="6"/>
      <c r="N41" s="50">
        <v>47860</v>
      </c>
      <c r="O41" s="133">
        <f t="shared" si="2"/>
        <v>410189</v>
      </c>
      <c r="P41" s="40"/>
    </row>
    <row r="42" spans="1:16" ht="15">
      <c r="A42" s="45" t="s">
        <v>410</v>
      </c>
      <c r="B42" s="160" t="s">
        <v>564</v>
      </c>
      <c r="C42" s="7">
        <v>319720</v>
      </c>
      <c r="D42" s="6"/>
      <c r="E42" s="6"/>
      <c r="F42" s="7"/>
      <c r="G42" s="6"/>
      <c r="H42" s="6"/>
      <c r="I42" s="6"/>
      <c r="J42" s="7"/>
      <c r="K42" s="7"/>
      <c r="L42" s="7"/>
      <c r="M42" s="6"/>
      <c r="N42" s="65"/>
      <c r="O42" s="133">
        <f t="shared" si="2"/>
        <v>319720</v>
      </c>
      <c r="P42" s="40"/>
    </row>
    <row r="43" spans="1:16" ht="30">
      <c r="A43" s="45" t="s">
        <v>298</v>
      </c>
      <c r="B43" s="151" t="s">
        <v>299</v>
      </c>
      <c r="C43" s="7"/>
      <c r="D43" s="6"/>
      <c r="E43" s="6"/>
      <c r="F43" s="7"/>
      <c r="G43" s="6"/>
      <c r="H43" s="6"/>
      <c r="I43" s="6"/>
      <c r="J43" s="7"/>
      <c r="K43" s="7"/>
      <c r="L43" s="7"/>
      <c r="M43" s="7"/>
      <c r="N43" s="7"/>
      <c r="O43" s="133">
        <f t="shared" si="2"/>
        <v>0</v>
      </c>
      <c r="P43" s="40"/>
    </row>
    <row r="44" spans="1:16" ht="15.75">
      <c r="A44" s="161" t="s">
        <v>411</v>
      </c>
      <c r="B44" s="11" t="s">
        <v>563</v>
      </c>
      <c r="C44" s="7">
        <v>187586</v>
      </c>
      <c r="D44" s="6"/>
      <c r="E44" s="6"/>
      <c r="F44" s="7"/>
      <c r="G44" s="6"/>
      <c r="H44" s="6"/>
      <c r="I44" s="6"/>
      <c r="J44" s="7"/>
      <c r="K44" s="7"/>
      <c r="L44" s="7"/>
      <c r="M44" s="7"/>
      <c r="N44" s="7"/>
      <c r="O44" s="133">
        <f t="shared" si="2"/>
        <v>187586</v>
      </c>
      <c r="P44" s="40"/>
    </row>
    <row r="45" spans="1:16" ht="60">
      <c r="A45" s="161" t="s">
        <v>412</v>
      </c>
      <c r="B45" s="14" t="s">
        <v>413</v>
      </c>
      <c r="C45" s="7">
        <v>918513</v>
      </c>
      <c r="D45" s="6"/>
      <c r="E45" s="6"/>
      <c r="F45" s="7"/>
      <c r="G45" s="6"/>
      <c r="H45" s="6"/>
      <c r="I45" s="6"/>
      <c r="J45" s="7"/>
      <c r="K45" s="7"/>
      <c r="L45" s="7"/>
      <c r="M45" s="7"/>
      <c r="N45" s="7"/>
      <c r="O45" s="133">
        <f t="shared" si="2"/>
        <v>918513</v>
      </c>
      <c r="P45" s="40"/>
    </row>
    <row r="46" spans="1:16" ht="15">
      <c r="A46" s="161" t="s">
        <v>414</v>
      </c>
      <c r="B46" s="14" t="s">
        <v>415</v>
      </c>
      <c r="C46" s="7">
        <v>46402</v>
      </c>
      <c r="D46" s="6"/>
      <c r="E46" s="6"/>
      <c r="F46" s="7"/>
      <c r="G46" s="6"/>
      <c r="H46" s="6"/>
      <c r="I46" s="6"/>
      <c r="J46" s="7"/>
      <c r="K46" s="7"/>
      <c r="L46" s="7"/>
      <c r="M46" s="7"/>
      <c r="N46" s="7"/>
      <c r="O46" s="133">
        <f t="shared" si="2"/>
        <v>46402</v>
      </c>
      <c r="P46" s="40"/>
    </row>
    <row r="47" spans="1:16" ht="45">
      <c r="A47" s="161" t="s">
        <v>416</v>
      </c>
      <c r="B47" s="14" t="s">
        <v>561</v>
      </c>
      <c r="C47" s="7">
        <v>771427</v>
      </c>
      <c r="D47" s="6"/>
      <c r="E47" s="6"/>
      <c r="F47" s="7"/>
      <c r="G47" s="6"/>
      <c r="H47" s="6"/>
      <c r="I47" s="6"/>
      <c r="J47" s="7"/>
      <c r="K47" s="7"/>
      <c r="L47" s="7"/>
      <c r="M47" s="7"/>
      <c r="N47" s="7"/>
      <c r="O47" s="133">
        <f t="shared" si="2"/>
        <v>771427</v>
      </c>
      <c r="P47" s="40"/>
    </row>
    <row r="48" spans="1:16" ht="42" customHeight="1">
      <c r="A48" s="161" t="s">
        <v>417</v>
      </c>
      <c r="B48" s="14" t="s">
        <v>418</v>
      </c>
      <c r="C48" s="7"/>
      <c r="D48" s="6"/>
      <c r="E48" s="6"/>
      <c r="F48" s="7"/>
      <c r="G48" s="6"/>
      <c r="H48" s="6"/>
      <c r="I48" s="6"/>
      <c r="J48" s="7"/>
      <c r="K48" s="7"/>
      <c r="L48" s="7"/>
      <c r="M48" s="7"/>
      <c r="N48" s="7"/>
      <c r="O48" s="133">
        <f t="shared" si="2"/>
        <v>0</v>
      </c>
      <c r="P48" s="40"/>
    </row>
    <row r="49" spans="1:16" ht="15">
      <c r="A49" s="161" t="s">
        <v>419</v>
      </c>
      <c r="B49" s="162" t="s">
        <v>562</v>
      </c>
      <c r="C49" s="7">
        <v>460792</v>
      </c>
      <c r="D49" s="6"/>
      <c r="E49" s="6"/>
      <c r="F49" s="7"/>
      <c r="G49" s="6"/>
      <c r="H49" s="6"/>
      <c r="I49" s="6"/>
      <c r="J49" s="7"/>
      <c r="K49" s="7"/>
      <c r="L49" s="7"/>
      <c r="M49" s="7"/>
      <c r="N49" s="7"/>
      <c r="O49" s="133">
        <f t="shared" si="2"/>
        <v>460792</v>
      </c>
      <c r="P49" s="40"/>
    </row>
    <row r="50" spans="1:16" ht="30">
      <c r="A50" s="161" t="s">
        <v>420</v>
      </c>
      <c r="B50" s="14" t="s">
        <v>421</v>
      </c>
      <c r="C50" s="7"/>
      <c r="D50" s="6"/>
      <c r="E50" s="6"/>
      <c r="F50" s="7"/>
      <c r="G50" s="6"/>
      <c r="H50" s="6"/>
      <c r="I50" s="6"/>
      <c r="J50" s="7"/>
      <c r="K50" s="7"/>
      <c r="L50" s="7"/>
      <c r="M50" s="7"/>
      <c r="N50" s="7"/>
      <c r="O50" s="133">
        <f t="shared" si="2"/>
        <v>0</v>
      </c>
      <c r="P50" s="40"/>
    </row>
    <row r="51" spans="1:16" ht="15">
      <c r="A51" s="161" t="s">
        <v>422</v>
      </c>
      <c r="B51" s="162" t="s">
        <v>565</v>
      </c>
      <c r="C51" s="7">
        <v>85400</v>
      </c>
      <c r="D51" s="6"/>
      <c r="E51" s="6"/>
      <c r="F51" s="7"/>
      <c r="G51" s="6"/>
      <c r="H51" s="6"/>
      <c r="I51" s="6"/>
      <c r="J51" s="7"/>
      <c r="K51" s="7"/>
      <c r="L51" s="7"/>
      <c r="M51" s="7"/>
      <c r="N51" s="7"/>
      <c r="O51" s="133">
        <f t="shared" si="2"/>
        <v>85400</v>
      </c>
      <c r="P51" s="40"/>
    </row>
    <row r="52" spans="1:16" ht="15">
      <c r="A52" s="161" t="s">
        <v>423</v>
      </c>
      <c r="B52" s="162" t="s">
        <v>566</v>
      </c>
      <c r="C52" s="7">
        <v>29354</v>
      </c>
      <c r="D52" s="6"/>
      <c r="E52" s="6"/>
      <c r="F52" s="7"/>
      <c r="G52" s="6"/>
      <c r="H52" s="6"/>
      <c r="I52" s="6"/>
      <c r="J52" s="7"/>
      <c r="K52" s="7"/>
      <c r="L52" s="7"/>
      <c r="M52" s="7"/>
      <c r="N52" s="7"/>
      <c r="O52" s="133">
        <f t="shared" si="2"/>
        <v>29354</v>
      </c>
      <c r="P52" s="40"/>
    </row>
    <row r="53" spans="1:16" ht="45">
      <c r="A53" s="161" t="s">
        <v>424</v>
      </c>
      <c r="B53" s="162" t="s">
        <v>425</v>
      </c>
      <c r="C53" s="7">
        <v>619622</v>
      </c>
      <c r="D53" s="6"/>
      <c r="E53" s="6"/>
      <c r="F53" s="7"/>
      <c r="G53" s="6"/>
      <c r="H53" s="6"/>
      <c r="I53" s="6"/>
      <c r="J53" s="7"/>
      <c r="K53" s="7"/>
      <c r="L53" s="7"/>
      <c r="M53" s="7"/>
      <c r="N53" s="7"/>
      <c r="O53" s="133">
        <f t="shared" si="2"/>
        <v>619622</v>
      </c>
      <c r="P53" s="40"/>
    </row>
    <row r="54" spans="1:16" ht="15">
      <c r="A54" s="161" t="s">
        <v>426</v>
      </c>
      <c r="B54" s="13" t="s">
        <v>427</v>
      </c>
      <c r="C54" s="7">
        <v>2613</v>
      </c>
      <c r="D54" s="6"/>
      <c r="E54" s="6"/>
      <c r="F54" s="7"/>
      <c r="G54" s="6"/>
      <c r="H54" s="6"/>
      <c r="I54" s="6"/>
      <c r="J54" s="7"/>
      <c r="K54" s="7"/>
      <c r="L54" s="7"/>
      <c r="M54" s="7"/>
      <c r="N54" s="7"/>
      <c r="O54" s="133">
        <f t="shared" si="2"/>
        <v>2613</v>
      </c>
      <c r="P54" s="40"/>
    </row>
    <row r="55" spans="1:16" ht="15">
      <c r="A55" s="161" t="s">
        <v>428</v>
      </c>
      <c r="B55" s="159" t="s">
        <v>429</v>
      </c>
      <c r="C55" s="7"/>
      <c r="D55" s="6"/>
      <c r="E55" s="6"/>
      <c r="F55" s="7"/>
      <c r="G55" s="6"/>
      <c r="H55" s="6"/>
      <c r="I55" s="6"/>
      <c r="J55" s="7">
        <v>34921</v>
      </c>
      <c r="K55" s="7"/>
      <c r="L55" s="7"/>
      <c r="M55" s="7"/>
      <c r="N55" s="7"/>
      <c r="O55" s="133">
        <f t="shared" si="2"/>
        <v>34921</v>
      </c>
      <c r="P55" s="40"/>
    </row>
    <row r="56" spans="1:16" ht="45">
      <c r="A56" s="161" t="s">
        <v>527</v>
      </c>
      <c r="B56" s="159" t="s">
        <v>528</v>
      </c>
      <c r="C56" s="7">
        <v>345535</v>
      </c>
      <c r="D56" s="6"/>
      <c r="E56" s="6"/>
      <c r="F56" s="7"/>
      <c r="G56" s="6"/>
      <c r="H56" s="6"/>
      <c r="I56" s="6"/>
      <c r="J56" s="7"/>
      <c r="K56" s="7"/>
      <c r="L56" s="7"/>
      <c r="M56" s="7"/>
      <c r="N56" s="7"/>
      <c r="O56" s="133">
        <f t="shared" si="2"/>
        <v>345535</v>
      </c>
      <c r="P56" s="40"/>
    </row>
    <row r="57" spans="1:16" ht="15">
      <c r="A57" s="161" t="s">
        <v>529</v>
      </c>
      <c r="B57" s="159" t="s">
        <v>567</v>
      </c>
      <c r="C57" s="7">
        <v>1343000</v>
      </c>
      <c r="D57" s="6"/>
      <c r="E57" s="6"/>
      <c r="F57" s="7"/>
      <c r="G57" s="6"/>
      <c r="H57" s="6"/>
      <c r="I57" s="6"/>
      <c r="J57" s="7"/>
      <c r="K57" s="7"/>
      <c r="L57" s="7"/>
      <c r="M57" s="7"/>
      <c r="N57" s="7"/>
      <c r="O57" s="133">
        <f t="shared" si="2"/>
        <v>1343000</v>
      </c>
      <c r="P57" s="40"/>
    </row>
    <row r="58" spans="1:16" ht="30">
      <c r="A58" s="161" t="s">
        <v>530</v>
      </c>
      <c r="B58" s="159" t="s">
        <v>541</v>
      </c>
      <c r="C58" s="7">
        <v>276409</v>
      </c>
      <c r="D58" s="6"/>
      <c r="E58" s="6"/>
      <c r="F58" s="7"/>
      <c r="G58" s="6"/>
      <c r="H58" s="6"/>
      <c r="I58" s="6"/>
      <c r="J58" s="7"/>
      <c r="K58" s="7"/>
      <c r="L58" s="7"/>
      <c r="M58" s="7"/>
      <c r="N58" s="7"/>
      <c r="O58" s="133">
        <f t="shared" si="2"/>
        <v>276409</v>
      </c>
      <c r="P58" s="40"/>
    </row>
    <row r="59" spans="1:16" ht="30">
      <c r="A59" s="161" t="s">
        <v>531</v>
      </c>
      <c r="B59" s="159" t="s">
        <v>542</v>
      </c>
      <c r="C59" s="7">
        <v>471547</v>
      </c>
      <c r="D59" s="6"/>
      <c r="E59" s="6"/>
      <c r="F59" s="7"/>
      <c r="G59" s="6"/>
      <c r="H59" s="6"/>
      <c r="I59" s="6"/>
      <c r="J59" s="7"/>
      <c r="K59" s="7"/>
      <c r="L59" s="7"/>
      <c r="M59" s="7"/>
      <c r="N59" s="7"/>
      <c r="O59" s="133">
        <f t="shared" si="2"/>
        <v>471547</v>
      </c>
      <c r="P59" s="40"/>
    </row>
    <row r="60" spans="1:16" ht="15">
      <c r="A60" s="161" t="s">
        <v>532</v>
      </c>
      <c r="B60" s="159" t="s">
        <v>543</v>
      </c>
      <c r="C60" s="7">
        <v>968200</v>
      </c>
      <c r="D60" s="6"/>
      <c r="E60" s="6"/>
      <c r="F60" s="7"/>
      <c r="G60" s="6"/>
      <c r="H60" s="6"/>
      <c r="I60" s="6"/>
      <c r="J60" s="7"/>
      <c r="K60" s="7"/>
      <c r="L60" s="7"/>
      <c r="M60" s="7"/>
      <c r="N60" s="7"/>
      <c r="O60" s="133">
        <f t="shared" si="2"/>
        <v>968200</v>
      </c>
      <c r="P60" s="40"/>
    </row>
    <row r="61" spans="1:16" ht="15">
      <c r="A61" s="161" t="s">
        <v>533</v>
      </c>
      <c r="B61" s="159" t="s">
        <v>544</v>
      </c>
      <c r="C61" s="7">
        <v>159140</v>
      </c>
      <c r="D61" s="6"/>
      <c r="E61" s="6"/>
      <c r="F61" s="7"/>
      <c r="G61" s="6"/>
      <c r="H61" s="6"/>
      <c r="I61" s="6"/>
      <c r="J61" s="7"/>
      <c r="K61" s="7"/>
      <c r="L61" s="7"/>
      <c r="M61" s="7"/>
      <c r="N61" s="7"/>
      <c r="O61" s="133">
        <f t="shared" si="2"/>
        <v>159140</v>
      </c>
      <c r="P61" s="40"/>
    </row>
    <row r="62" spans="1:16" ht="15">
      <c r="A62" s="161" t="s">
        <v>534</v>
      </c>
      <c r="B62" s="159" t="s">
        <v>545</v>
      </c>
      <c r="C62" s="7">
        <v>214800</v>
      </c>
      <c r="D62" s="6"/>
      <c r="E62" s="6"/>
      <c r="F62" s="7"/>
      <c r="G62" s="6"/>
      <c r="H62" s="6"/>
      <c r="I62" s="6"/>
      <c r="J62" s="7"/>
      <c r="K62" s="7"/>
      <c r="L62" s="7"/>
      <c r="M62" s="7"/>
      <c r="N62" s="7"/>
      <c r="O62" s="133">
        <f t="shared" si="2"/>
        <v>214800</v>
      </c>
      <c r="P62" s="40"/>
    </row>
    <row r="63" spans="1:16" ht="15">
      <c r="A63" s="161" t="s">
        <v>535</v>
      </c>
      <c r="B63" s="159" t="s">
        <v>546</v>
      </c>
      <c r="C63" s="7">
        <v>221430</v>
      </c>
      <c r="D63" s="6"/>
      <c r="E63" s="6"/>
      <c r="F63" s="7"/>
      <c r="G63" s="6"/>
      <c r="H63" s="6"/>
      <c r="I63" s="6"/>
      <c r="J63" s="7"/>
      <c r="K63" s="7"/>
      <c r="L63" s="7"/>
      <c r="M63" s="7"/>
      <c r="N63" s="7"/>
      <c r="O63" s="133">
        <f t="shared" si="2"/>
        <v>221430</v>
      </c>
      <c r="P63" s="40"/>
    </row>
    <row r="64" spans="1:16" ht="15">
      <c r="A64" s="161" t="s">
        <v>536</v>
      </c>
      <c r="B64" s="159" t="s">
        <v>547</v>
      </c>
      <c r="C64" s="7">
        <v>245800</v>
      </c>
      <c r="D64" s="6"/>
      <c r="E64" s="6"/>
      <c r="F64" s="7"/>
      <c r="G64" s="6"/>
      <c r="H64" s="6"/>
      <c r="I64" s="6"/>
      <c r="J64" s="7"/>
      <c r="K64" s="7"/>
      <c r="L64" s="7"/>
      <c r="M64" s="7"/>
      <c r="N64" s="7"/>
      <c r="O64" s="133">
        <f t="shared" si="2"/>
        <v>245800</v>
      </c>
      <c r="P64" s="40"/>
    </row>
    <row r="65" spans="1:16" ht="30">
      <c r="A65" s="161" t="s">
        <v>537</v>
      </c>
      <c r="B65" s="159" t="s">
        <v>548</v>
      </c>
      <c r="C65" s="7">
        <v>90000</v>
      </c>
      <c r="D65" s="6"/>
      <c r="E65" s="6"/>
      <c r="F65" s="7"/>
      <c r="G65" s="6"/>
      <c r="H65" s="6"/>
      <c r="I65" s="6"/>
      <c r="J65" s="7"/>
      <c r="K65" s="7"/>
      <c r="L65" s="7"/>
      <c r="M65" s="7"/>
      <c r="N65" s="7"/>
      <c r="O65" s="133">
        <f t="shared" si="2"/>
        <v>90000</v>
      </c>
      <c r="P65" s="40"/>
    </row>
    <row r="66" spans="1:16" ht="30">
      <c r="A66" s="161" t="s">
        <v>538</v>
      </c>
      <c r="B66" s="159" t="s">
        <v>568</v>
      </c>
      <c r="C66" s="7">
        <v>146000</v>
      </c>
      <c r="D66" s="6"/>
      <c r="E66" s="6"/>
      <c r="F66" s="7"/>
      <c r="G66" s="6"/>
      <c r="H66" s="6"/>
      <c r="I66" s="6"/>
      <c r="J66" s="7"/>
      <c r="K66" s="7"/>
      <c r="L66" s="7"/>
      <c r="M66" s="7"/>
      <c r="N66" s="7"/>
      <c r="O66" s="133">
        <f t="shared" si="2"/>
        <v>146000</v>
      </c>
      <c r="P66" s="40"/>
    </row>
    <row r="67" spans="1:16" ht="15">
      <c r="A67" s="161" t="s">
        <v>539</v>
      </c>
      <c r="B67" s="159" t="s">
        <v>549</v>
      </c>
      <c r="C67" s="7">
        <v>120000</v>
      </c>
      <c r="D67" s="6"/>
      <c r="E67" s="6"/>
      <c r="F67" s="7"/>
      <c r="G67" s="6"/>
      <c r="H67" s="6"/>
      <c r="I67" s="6"/>
      <c r="J67" s="7"/>
      <c r="K67" s="7"/>
      <c r="L67" s="7"/>
      <c r="M67" s="7"/>
      <c r="N67" s="7"/>
      <c r="O67" s="133">
        <f t="shared" si="2"/>
        <v>120000</v>
      </c>
      <c r="P67" s="40"/>
    </row>
    <row r="68" spans="1:16" ht="15">
      <c r="A68" s="161" t="s">
        <v>540</v>
      </c>
      <c r="B68" s="159" t="s">
        <v>569</v>
      </c>
      <c r="C68" s="7">
        <v>134000</v>
      </c>
      <c r="D68" s="6"/>
      <c r="E68" s="6"/>
      <c r="F68" s="7"/>
      <c r="G68" s="6"/>
      <c r="H68" s="6"/>
      <c r="I68" s="6"/>
      <c r="J68" s="7"/>
      <c r="K68" s="7"/>
      <c r="L68" s="7"/>
      <c r="M68" s="7"/>
      <c r="N68" s="7"/>
      <c r="O68" s="133">
        <f t="shared" si="2"/>
        <v>134000</v>
      </c>
      <c r="P68" s="40"/>
    </row>
    <row r="69" spans="1:16" ht="15">
      <c r="A69" s="132" t="s">
        <v>57</v>
      </c>
      <c r="B69" s="163" t="s">
        <v>58</v>
      </c>
      <c r="C69" s="83">
        <f>SUM(C70:C70)</f>
        <v>0</v>
      </c>
      <c r="D69" s="6"/>
      <c r="E69" s="6"/>
      <c r="F69" s="7"/>
      <c r="G69" s="80">
        <f aca="true" t="shared" si="11" ref="G69:N69">SUM(G70:G70)</f>
        <v>0</v>
      </c>
      <c r="H69" s="80">
        <f t="shared" si="11"/>
        <v>0</v>
      </c>
      <c r="I69" s="80">
        <f>SUM(I70:I70)</f>
        <v>0</v>
      </c>
      <c r="J69" s="83">
        <f t="shared" si="11"/>
        <v>0</v>
      </c>
      <c r="K69" s="83">
        <f t="shared" si="11"/>
        <v>0</v>
      </c>
      <c r="L69" s="83">
        <f t="shared" si="11"/>
        <v>0</v>
      </c>
      <c r="M69" s="83">
        <f t="shared" si="11"/>
        <v>0</v>
      </c>
      <c r="N69" s="83">
        <f t="shared" si="11"/>
        <v>0</v>
      </c>
      <c r="O69" s="133">
        <f t="shared" si="2"/>
        <v>0</v>
      </c>
      <c r="P69" s="40"/>
    </row>
    <row r="70" spans="1:16" ht="15">
      <c r="A70" s="45" t="s">
        <v>213</v>
      </c>
      <c r="B70" s="46" t="s">
        <v>286</v>
      </c>
      <c r="C70" s="7"/>
      <c r="D70" s="6"/>
      <c r="E70" s="6"/>
      <c r="F70" s="7"/>
      <c r="G70" s="6"/>
      <c r="H70" s="6"/>
      <c r="I70" s="6"/>
      <c r="J70" s="6"/>
      <c r="K70" s="6"/>
      <c r="L70" s="6"/>
      <c r="M70" s="6"/>
      <c r="N70" s="7"/>
      <c r="O70" s="133">
        <f t="shared" si="2"/>
        <v>0</v>
      </c>
      <c r="P70" s="40"/>
    </row>
    <row r="71" spans="1:16" ht="15.75" thickBot="1">
      <c r="A71" s="164" t="s">
        <v>430</v>
      </c>
      <c r="B71" s="147" t="s">
        <v>431</v>
      </c>
      <c r="C71" s="10">
        <v>108980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33">
        <f t="shared" si="2"/>
        <v>108980</v>
      </c>
      <c r="P71" s="40"/>
    </row>
    <row r="72" spans="1:17" ht="15.75" thickBot="1">
      <c r="A72" s="69" t="s">
        <v>11</v>
      </c>
      <c r="B72" s="165" t="s">
        <v>59</v>
      </c>
      <c r="C72" s="38">
        <f aca="true" t="shared" si="12" ref="C72:N72">C73+C76+C79+C84</f>
        <v>5937300</v>
      </c>
      <c r="D72" s="38">
        <f t="shared" si="12"/>
        <v>448487</v>
      </c>
      <c r="E72" s="38">
        <f t="shared" si="12"/>
        <v>0</v>
      </c>
      <c r="F72" s="38">
        <f t="shared" si="12"/>
        <v>84351</v>
      </c>
      <c r="G72" s="38">
        <f t="shared" si="12"/>
        <v>10600</v>
      </c>
      <c r="H72" s="38">
        <f t="shared" si="12"/>
        <v>36948</v>
      </c>
      <c r="I72" s="38">
        <f t="shared" si="12"/>
        <v>38350</v>
      </c>
      <c r="J72" s="38">
        <f t="shared" si="12"/>
        <v>133771</v>
      </c>
      <c r="K72" s="38">
        <f t="shared" si="12"/>
        <v>28120</v>
      </c>
      <c r="L72" s="38">
        <f t="shared" si="12"/>
        <v>12654</v>
      </c>
      <c r="M72" s="38">
        <f t="shared" si="12"/>
        <v>0</v>
      </c>
      <c r="N72" s="38">
        <f t="shared" si="12"/>
        <v>24254</v>
      </c>
      <c r="O72" s="39">
        <f t="shared" si="2"/>
        <v>6754835</v>
      </c>
      <c r="P72" s="40"/>
      <c r="Q72" s="40"/>
    </row>
    <row r="73" spans="1:17" ht="15">
      <c r="A73" s="125" t="s">
        <v>60</v>
      </c>
      <c r="B73" s="163" t="s">
        <v>61</v>
      </c>
      <c r="C73" s="127">
        <f>SUM(C74:C75)</f>
        <v>27173</v>
      </c>
      <c r="D73" s="127">
        <f aca="true" t="shared" si="13" ref="D73:N73">SUM(D74:D75)</f>
        <v>86836</v>
      </c>
      <c r="E73" s="127">
        <f t="shared" si="13"/>
        <v>0</v>
      </c>
      <c r="F73" s="127">
        <f t="shared" si="13"/>
        <v>36669</v>
      </c>
      <c r="G73" s="127">
        <f t="shared" si="13"/>
        <v>1600</v>
      </c>
      <c r="H73" s="127">
        <f t="shared" si="13"/>
        <v>16105</v>
      </c>
      <c r="I73" s="127">
        <f t="shared" si="13"/>
        <v>28735</v>
      </c>
      <c r="J73" s="127">
        <f t="shared" si="13"/>
        <v>42957</v>
      </c>
      <c r="K73" s="127">
        <f t="shared" si="13"/>
        <v>20306</v>
      </c>
      <c r="L73" s="127">
        <f t="shared" si="13"/>
        <v>6500</v>
      </c>
      <c r="M73" s="127">
        <f t="shared" si="13"/>
        <v>0</v>
      </c>
      <c r="N73" s="127">
        <f t="shared" si="13"/>
        <v>12000</v>
      </c>
      <c r="O73" s="166">
        <f t="shared" si="2"/>
        <v>278881</v>
      </c>
      <c r="P73" s="40"/>
      <c r="Q73" s="40"/>
    </row>
    <row r="74" spans="1:16" ht="30">
      <c r="A74" s="45" t="s">
        <v>214</v>
      </c>
      <c r="B74" s="46" t="s">
        <v>183</v>
      </c>
      <c r="C74" s="7">
        <v>7813</v>
      </c>
      <c r="D74" s="6">
        <v>86836</v>
      </c>
      <c r="E74" s="6"/>
      <c r="F74" s="6">
        <v>36669</v>
      </c>
      <c r="G74" s="7">
        <v>1600</v>
      </c>
      <c r="H74" s="6">
        <v>16105</v>
      </c>
      <c r="I74" s="6">
        <v>28735</v>
      </c>
      <c r="J74" s="6">
        <f>35867+7090</f>
        <v>42957</v>
      </c>
      <c r="K74" s="6">
        <v>20306</v>
      </c>
      <c r="L74" s="6">
        <v>6500</v>
      </c>
      <c r="M74" s="6"/>
      <c r="N74" s="50">
        <v>12000</v>
      </c>
      <c r="O74" s="133">
        <f>SUM(C74:N74)</f>
        <v>259521</v>
      </c>
      <c r="P74" s="40"/>
    </row>
    <row r="75" spans="1:16" ht="15">
      <c r="A75" s="45" t="s">
        <v>300</v>
      </c>
      <c r="B75" s="144" t="s">
        <v>301</v>
      </c>
      <c r="C75" s="7">
        <v>19360</v>
      </c>
      <c r="D75" s="7"/>
      <c r="E75" s="7"/>
      <c r="F75" s="6"/>
      <c r="G75" s="3"/>
      <c r="H75" s="6"/>
      <c r="I75" s="6"/>
      <c r="J75" s="7"/>
      <c r="K75" s="6"/>
      <c r="L75" s="7"/>
      <c r="M75" s="6"/>
      <c r="N75" s="65"/>
      <c r="O75" s="133">
        <f>SUM(C75:N75)</f>
        <v>19360</v>
      </c>
      <c r="P75" s="40"/>
    </row>
    <row r="76" spans="1:17" ht="15">
      <c r="A76" s="132" t="s">
        <v>62</v>
      </c>
      <c r="B76" s="134" t="s">
        <v>63</v>
      </c>
      <c r="C76" s="83">
        <f>SUM(C77:C78)</f>
        <v>96248</v>
      </c>
      <c r="D76" s="83">
        <f>SUM(D77:D78)</f>
        <v>361651</v>
      </c>
      <c r="E76" s="83">
        <f>SUM(E77:E78)</f>
        <v>0</v>
      </c>
      <c r="F76" s="80">
        <f>SUM(F77:F78)</f>
        <v>47682</v>
      </c>
      <c r="G76" s="82">
        <f aca="true" t="shared" si="14" ref="G76:N76">SUM(G77:G78)</f>
        <v>0</v>
      </c>
      <c r="H76" s="80">
        <f t="shared" si="14"/>
        <v>20843</v>
      </c>
      <c r="I76" s="80">
        <f t="shared" si="14"/>
        <v>9615</v>
      </c>
      <c r="J76" s="83">
        <f t="shared" si="14"/>
        <v>90814</v>
      </c>
      <c r="K76" s="83">
        <f t="shared" si="14"/>
        <v>7814</v>
      </c>
      <c r="L76" s="83">
        <f t="shared" si="14"/>
        <v>5463</v>
      </c>
      <c r="M76" s="80">
        <f t="shared" si="14"/>
        <v>0</v>
      </c>
      <c r="N76" s="81">
        <f t="shared" si="14"/>
        <v>12254</v>
      </c>
      <c r="O76" s="133">
        <f t="shared" si="2"/>
        <v>652384</v>
      </c>
      <c r="P76" s="40"/>
      <c r="Q76" s="40"/>
    </row>
    <row r="77" spans="1:16" ht="15">
      <c r="A77" s="45" t="s">
        <v>215</v>
      </c>
      <c r="B77" s="151" t="s">
        <v>122</v>
      </c>
      <c r="C77" s="7">
        <v>96248</v>
      </c>
      <c r="D77" s="167">
        <v>28808</v>
      </c>
      <c r="E77" s="6"/>
      <c r="F77" s="6"/>
      <c r="G77" s="3"/>
      <c r="H77" s="6"/>
      <c r="I77" s="6"/>
      <c r="J77" s="6"/>
      <c r="K77" s="6"/>
      <c r="L77" s="6"/>
      <c r="M77" s="6"/>
      <c r="N77" s="65"/>
      <c r="O77" s="133">
        <f t="shared" si="2"/>
        <v>125056</v>
      </c>
      <c r="P77" s="40"/>
    </row>
    <row r="78" spans="1:16" ht="15">
      <c r="A78" s="168" t="s">
        <v>216</v>
      </c>
      <c r="B78" s="151" t="s">
        <v>113</v>
      </c>
      <c r="C78" s="7"/>
      <c r="D78" s="167">
        <v>332843</v>
      </c>
      <c r="E78" s="6"/>
      <c r="F78" s="7">
        <v>47682</v>
      </c>
      <c r="G78" s="6"/>
      <c r="H78" s="6">
        <v>20843</v>
      </c>
      <c r="I78" s="6">
        <v>9615</v>
      </c>
      <c r="J78" s="6">
        <v>90814</v>
      </c>
      <c r="K78" s="6">
        <v>7814</v>
      </c>
      <c r="L78" s="6">
        <v>5463</v>
      </c>
      <c r="M78" s="6"/>
      <c r="N78" s="50">
        <v>12254</v>
      </c>
      <c r="O78" s="133">
        <f>SUM(C78:N78)</f>
        <v>527328</v>
      </c>
      <c r="P78" s="40"/>
    </row>
    <row r="79" spans="1:17" s="22" customFormat="1" ht="29.25">
      <c r="A79" s="132" t="s">
        <v>219</v>
      </c>
      <c r="B79" s="163" t="s">
        <v>220</v>
      </c>
      <c r="C79" s="127">
        <f aca="true" t="shared" si="15" ref="C79:N79">SUM(C80:C83)</f>
        <v>5779127</v>
      </c>
      <c r="D79" s="127">
        <f t="shared" si="15"/>
        <v>0</v>
      </c>
      <c r="E79" s="127">
        <f t="shared" si="15"/>
        <v>0</v>
      </c>
      <c r="F79" s="127">
        <f t="shared" si="15"/>
        <v>0</v>
      </c>
      <c r="G79" s="127">
        <f t="shared" si="15"/>
        <v>0</v>
      </c>
      <c r="H79" s="127">
        <f t="shared" si="15"/>
        <v>0</v>
      </c>
      <c r="I79" s="127">
        <f t="shared" si="15"/>
        <v>0</v>
      </c>
      <c r="J79" s="127">
        <f t="shared" si="15"/>
        <v>0</v>
      </c>
      <c r="K79" s="127">
        <f t="shared" si="15"/>
        <v>0</v>
      </c>
      <c r="L79" s="127">
        <f t="shared" si="15"/>
        <v>691</v>
      </c>
      <c r="M79" s="127">
        <f t="shared" si="15"/>
        <v>0</v>
      </c>
      <c r="N79" s="127">
        <f t="shared" si="15"/>
        <v>0</v>
      </c>
      <c r="O79" s="133">
        <f t="shared" si="2"/>
        <v>5779818</v>
      </c>
      <c r="P79" s="40"/>
      <c r="Q79" s="40"/>
    </row>
    <row r="80" spans="1:16" s="22" customFormat="1" ht="15">
      <c r="A80" s="45" t="s">
        <v>432</v>
      </c>
      <c r="B80" s="169" t="s">
        <v>433</v>
      </c>
      <c r="C80" s="9">
        <v>64753</v>
      </c>
      <c r="D80" s="127"/>
      <c r="E80" s="127"/>
      <c r="F80" s="127"/>
      <c r="G80" s="77"/>
      <c r="H80" s="127"/>
      <c r="I80" s="127"/>
      <c r="J80" s="127"/>
      <c r="K80" s="127"/>
      <c r="L80" s="127">
        <v>691</v>
      </c>
      <c r="M80" s="127"/>
      <c r="N80" s="127"/>
      <c r="O80" s="133">
        <f aca="true" t="shared" si="16" ref="O80:O85">SUM(C80:N80)</f>
        <v>65444</v>
      </c>
      <c r="P80" s="40"/>
    </row>
    <row r="81" spans="1:16" s="22" customFormat="1" ht="30">
      <c r="A81" s="161" t="s">
        <v>434</v>
      </c>
      <c r="B81" s="14" t="s">
        <v>435</v>
      </c>
      <c r="C81" s="9">
        <v>4355129</v>
      </c>
      <c r="D81" s="127"/>
      <c r="E81" s="127"/>
      <c r="F81" s="127"/>
      <c r="G81" s="77"/>
      <c r="H81" s="127"/>
      <c r="I81" s="127"/>
      <c r="J81" s="127"/>
      <c r="K81" s="127"/>
      <c r="L81" s="127"/>
      <c r="M81" s="127"/>
      <c r="N81" s="127"/>
      <c r="O81" s="133">
        <f t="shared" si="16"/>
        <v>4355129</v>
      </c>
      <c r="P81" s="40"/>
    </row>
    <row r="82" spans="1:16" s="22" customFormat="1" ht="60">
      <c r="A82" s="161" t="s">
        <v>554</v>
      </c>
      <c r="B82" s="159" t="s">
        <v>555</v>
      </c>
      <c r="C82" s="9">
        <v>848717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33">
        <f t="shared" si="16"/>
        <v>848717</v>
      </c>
      <c r="P82" s="40"/>
    </row>
    <row r="83" spans="1:16" s="22" customFormat="1" ht="45">
      <c r="A83" s="161" t="s">
        <v>550</v>
      </c>
      <c r="B83" s="169" t="s">
        <v>551</v>
      </c>
      <c r="C83" s="9">
        <v>510528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33">
        <f t="shared" si="16"/>
        <v>510528</v>
      </c>
      <c r="P83" s="40"/>
    </row>
    <row r="84" spans="1:17" ht="29.25">
      <c r="A84" s="125" t="s">
        <v>217</v>
      </c>
      <c r="B84" s="163" t="s">
        <v>218</v>
      </c>
      <c r="C84" s="127">
        <f>C85</f>
        <v>34752</v>
      </c>
      <c r="D84" s="127">
        <f aca="true" t="shared" si="17" ref="D84:N84">D85</f>
        <v>0</v>
      </c>
      <c r="E84" s="127">
        <f t="shared" si="17"/>
        <v>0</v>
      </c>
      <c r="F84" s="127">
        <f t="shared" si="17"/>
        <v>0</v>
      </c>
      <c r="G84" s="127">
        <f t="shared" si="17"/>
        <v>9000</v>
      </c>
      <c r="H84" s="127">
        <f t="shared" si="17"/>
        <v>0</v>
      </c>
      <c r="I84" s="127">
        <f t="shared" si="17"/>
        <v>0</v>
      </c>
      <c r="J84" s="127">
        <f t="shared" si="17"/>
        <v>0</v>
      </c>
      <c r="K84" s="127">
        <f t="shared" si="17"/>
        <v>0</v>
      </c>
      <c r="L84" s="127">
        <f t="shared" si="17"/>
        <v>0</v>
      </c>
      <c r="M84" s="127">
        <f t="shared" si="17"/>
        <v>0</v>
      </c>
      <c r="N84" s="127">
        <f t="shared" si="17"/>
        <v>0</v>
      </c>
      <c r="O84" s="133">
        <f t="shared" si="16"/>
        <v>43752</v>
      </c>
      <c r="P84" s="40"/>
      <c r="Q84" s="40"/>
    </row>
    <row r="85" spans="1:16" s="22" customFormat="1" ht="30" customHeight="1" thickBot="1">
      <c r="A85" s="170" t="s">
        <v>329</v>
      </c>
      <c r="B85" s="160" t="s">
        <v>330</v>
      </c>
      <c r="C85" s="9">
        <f>32752+2000</f>
        <v>34752</v>
      </c>
      <c r="D85" s="127"/>
      <c r="E85" s="127"/>
      <c r="F85" s="127"/>
      <c r="G85" s="43">
        <v>9000</v>
      </c>
      <c r="H85" s="127"/>
      <c r="I85" s="127"/>
      <c r="J85" s="127"/>
      <c r="K85" s="127"/>
      <c r="L85" s="127"/>
      <c r="M85" s="127"/>
      <c r="N85" s="127"/>
      <c r="O85" s="133">
        <f t="shared" si="16"/>
        <v>43752</v>
      </c>
      <c r="P85" s="40"/>
    </row>
    <row r="86" spans="1:17" ht="30" thickBot="1">
      <c r="A86" s="69" t="s">
        <v>12</v>
      </c>
      <c r="B86" s="165" t="s">
        <v>64</v>
      </c>
      <c r="C86" s="38">
        <f>SUM(C87:C93)</f>
        <v>2908860</v>
      </c>
      <c r="D86" s="38">
        <f aca="true" t="shared" si="18" ref="D86:N86">SUM(D87:D93)</f>
        <v>2338558</v>
      </c>
      <c r="E86" s="38">
        <f t="shared" si="18"/>
        <v>0</v>
      </c>
      <c r="F86" s="38">
        <f t="shared" si="18"/>
        <v>303491</v>
      </c>
      <c r="G86" s="38">
        <f t="shared" si="18"/>
        <v>94920</v>
      </c>
      <c r="H86" s="38">
        <f t="shared" si="18"/>
        <v>177075</v>
      </c>
      <c r="I86" s="38">
        <f t="shared" si="18"/>
        <v>187850</v>
      </c>
      <c r="J86" s="38">
        <f t="shared" si="18"/>
        <v>342301</v>
      </c>
      <c r="K86" s="38">
        <f t="shared" si="18"/>
        <v>118254</v>
      </c>
      <c r="L86" s="38">
        <f t="shared" si="18"/>
        <v>105535</v>
      </c>
      <c r="M86" s="38">
        <f t="shared" si="18"/>
        <v>112163</v>
      </c>
      <c r="N86" s="38">
        <f t="shared" si="18"/>
        <v>107798</v>
      </c>
      <c r="O86" s="39">
        <f t="shared" si="2"/>
        <v>6796805</v>
      </c>
      <c r="P86" s="40"/>
      <c r="Q86" s="40"/>
    </row>
    <row r="87" spans="1:16" ht="15">
      <c r="A87" s="125" t="s">
        <v>278</v>
      </c>
      <c r="B87" s="163" t="s">
        <v>331</v>
      </c>
      <c r="C87" s="127"/>
      <c r="D87" s="77"/>
      <c r="E87" s="43"/>
      <c r="F87" s="9"/>
      <c r="G87" s="43"/>
      <c r="H87" s="103"/>
      <c r="I87" s="43"/>
      <c r="J87" s="43"/>
      <c r="K87" s="43"/>
      <c r="L87" s="43"/>
      <c r="M87" s="43"/>
      <c r="N87" s="9"/>
      <c r="O87" s="130">
        <f t="shared" si="2"/>
        <v>0</v>
      </c>
      <c r="P87" s="40"/>
    </row>
    <row r="88" spans="1:16" ht="15">
      <c r="A88" s="149" t="s">
        <v>302</v>
      </c>
      <c r="B88" s="160" t="s">
        <v>184</v>
      </c>
      <c r="C88" s="127"/>
      <c r="D88" s="77"/>
      <c r="E88" s="43"/>
      <c r="F88" s="9"/>
      <c r="G88" s="43"/>
      <c r="H88" s="6"/>
      <c r="I88" s="43"/>
      <c r="J88" s="43"/>
      <c r="K88" s="43"/>
      <c r="L88" s="43"/>
      <c r="M88" s="43"/>
      <c r="N88" s="9"/>
      <c r="O88" s="58">
        <f t="shared" si="2"/>
        <v>0</v>
      </c>
      <c r="P88" s="40"/>
    </row>
    <row r="89" spans="1:16" ht="15">
      <c r="A89" s="132" t="s">
        <v>332</v>
      </c>
      <c r="B89" s="134" t="s">
        <v>560</v>
      </c>
      <c r="C89" s="7">
        <v>76020</v>
      </c>
      <c r="D89" s="80"/>
      <c r="E89" s="6"/>
      <c r="F89" s="7"/>
      <c r="G89" s="6"/>
      <c r="H89" s="6"/>
      <c r="I89" s="6"/>
      <c r="J89" s="6"/>
      <c r="K89" s="6"/>
      <c r="L89" s="6"/>
      <c r="M89" s="6"/>
      <c r="N89" s="7"/>
      <c r="O89" s="133">
        <f t="shared" si="2"/>
        <v>76020</v>
      </c>
      <c r="P89" s="40"/>
    </row>
    <row r="90" spans="1:16" ht="15">
      <c r="A90" s="132" t="s">
        <v>65</v>
      </c>
      <c r="B90" s="134" t="s">
        <v>66</v>
      </c>
      <c r="C90" s="7"/>
      <c r="D90" s="6">
        <v>249745</v>
      </c>
      <c r="E90" s="6"/>
      <c r="F90" s="6">
        <v>25138</v>
      </c>
      <c r="G90" s="3"/>
      <c r="H90" s="6"/>
      <c r="I90" s="6"/>
      <c r="J90" s="6"/>
      <c r="K90" s="6"/>
      <c r="L90" s="6"/>
      <c r="M90" s="6"/>
      <c r="N90" s="7"/>
      <c r="O90" s="133">
        <f aca="true" t="shared" si="19" ref="O90:O98">SUM(C90:N90)</f>
        <v>274883</v>
      </c>
      <c r="P90" s="40"/>
    </row>
    <row r="91" spans="1:16" ht="15">
      <c r="A91" s="132" t="s">
        <v>279</v>
      </c>
      <c r="B91" s="151" t="s">
        <v>333</v>
      </c>
      <c r="C91" s="7"/>
      <c r="D91" s="80"/>
      <c r="E91" s="6"/>
      <c r="F91" s="6"/>
      <c r="G91" s="3"/>
      <c r="H91" s="6">
        <v>24203</v>
      </c>
      <c r="I91" s="6">
        <v>14207</v>
      </c>
      <c r="J91" s="6">
        <v>40977</v>
      </c>
      <c r="K91" s="6">
        <v>10429</v>
      </c>
      <c r="L91" s="6">
        <v>4670</v>
      </c>
      <c r="M91" s="84">
        <v>88115</v>
      </c>
      <c r="N91" s="50">
        <v>4630</v>
      </c>
      <c r="O91" s="133">
        <f t="shared" si="19"/>
        <v>187231</v>
      </c>
      <c r="P91" s="40"/>
    </row>
    <row r="92" spans="1:16" ht="15">
      <c r="A92" s="132" t="s">
        <v>67</v>
      </c>
      <c r="B92" s="134" t="s">
        <v>68</v>
      </c>
      <c r="C92" s="83">
        <v>705089</v>
      </c>
      <c r="D92" s="80"/>
      <c r="E92" s="6"/>
      <c r="F92" s="6"/>
      <c r="G92" s="7">
        <v>6400</v>
      </c>
      <c r="H92" s="6">
        <v>1200</v>
      </c>
      <c r="I92" s="6"/>
      <c r="J92" s="6">
        <v>23125</v>
      </c>
      <c r="K92" s="6"/>
      <c r="L92" s="6"/>
      <c r="M92" s="84">
        <v>1700</v>
      </c>
      <c r="N92" s="7"/>
      <c r="O92" s="133">
        <f t="shared" si="19"/>
        <v>737514</v>
      </c>
      <c r="P92" s="40"/>
    </row>
    <row r="93" spans="1:16" ht="43.5">
      <c r="A93" s="132" t="s">
        <v>69</v>
      </c>
      <c r="B93" s="134" t="s">
        <v>70</v>
      </c>
      <c r="C93" s="83">
        <f aca="true" t="shared" si="20" ref="C93:N93">SUM(C94:C111)</f>
        <v>2127751</v>
      </c>
      <c r="D93" s="83">
        <f t="shared" si="20"/>
        <v>2088813</v>
      </c>
      <c r="E93" s="83">
        <f t="shared" si="20"/>
        <v>0</v>
      </c>
      <c r="F93" s="83">
        <f t="shared" si="20"/>
        <v>278353</v>
      </c>
      <c r="G93" s="83">
        <f t="shared" si="20"/>
        <v>88520</v>
      </c>
      <c r="H93" s="83">
        <f t="shared" si="20"/>
        <v>151672</v>
      </c>
      <c r="I93" s="83">
        <f t="shared" si="20"/>
        <v>173643</v>
      </c>
      <c r="J93" s="83">
        <f t="shared" si="20"/>
        <v>278199</v>
      </c>
      <c r="K93" s="83">
        <f t="shared" si="20"/>
        <v>107825</v>
      </c>
      <c r="L93" s="83">
        <f t="shared" si="20"/>
        <v>100865</v>
      </c>
      <c r="M93" s="83">
        <f t="shared" si="20"/>
        <v>22348</v>
      </c>
      <c r="N93" s="83">
        <f t="shared" si="20"/>
        <v>103168</v>
      </c>
      <c r="O93" s="133">
        <f t="shared" si="19"/>
        <v>5521157</v>
      </c>
      <c r="P93" s="40"/>
    </row>
    <row r="94" spans="1:16" ht="15">
      <c r="A94" s="45" t="s">
        <v>221</v>
      </c>
      <c r="B94" s="151" t="s">
        <v>124</v>
      </c>
      <c r="C94" s="7"/>
      <c r="D94" s="6">
        <v>2071266</v>
      </c>
      <c r="E94" s="6"/>
      <c r="F94" s="6">
        <v>104720</v>
      </c>
      <c r="G94" s="85"/>
      <c r="H94" s="43">
        <v>20700</v>
      </c>
      <c r="I94" s="6">
        <v>13530</v>
      </c>
      <c r="J94" s="6"/>
      <c r="K94" s="6"/>
      <c r="L94" s="6"/>
      <c r="M94" s="6"/>
      <c r="N94" s="6"/>
      <c r="O94" s="133">
        <f t="shared" si="19"/>
        <v>2210216</v>
      </c>
      <c r="P94" s="40"/>
    </row>
    <row r="95" spans="1:16" ht="15">
      <c r="A95" s="45" t="s">
        <v>222</v>
      </c>
      <c r="B95" s="151" t="s">
        <v>125</v>
      </c>
      <c r="C95" s="7"/>
      <c r="D95" s="6"/>
      <c r="E95" s="6"/>
      <c r="F95" s="6">
        <v>173633</v>
      </c>
      <c r="G95" s="85"/>
      <c r="H95" s="6">
        <v>77223</v>
      </c>
      <c r="I95" s="6">
        <v>84935</v>
      </c>
      <c r="J95" s="6">
        <v>147400</v>
      </c>
      <c r="K95" s="6"/>
      <c r="L95" s="6"/>
      <c r="M95" s="6"/>
      <c r="N95" s="7"/>
      <c r="O95" s="133">
        <f t="shared" si="19"/>
        <v>483191</v>
      </c>
      <c r="P95" s="40"/>
    </row>
    <row r="96" spans="1:16" ht="15">
      <c r="A96" s="45" t="s">
        <v>223</v>
      </c>
      <c r="B96" s="151" t="s">
        <v>126</v>
      </c>
      <c r="C96" s="7">
        <v>10456</v>
      </c>
      <c r="D96" s="6">
        <v>17547</v>
      </c>
      <c r="E96" s="6"/>
      <c r="F96" s="7"/>
      <c r="G96" s="7">
        <v>10586</v>
      </c>
      <c r="H96" s="6"/>
      <c r="I96" s="6"/>
      <c r="J96" s="6">
        <v>15689</v>
      </c>
      <c r="K96" s="6">
        <v>6469</v>
      </c>
      <c r="L96" s="6"/>
      <c r="M96" s="6">
        <v>5050</v>
      </c>
      <c r="N96" s="7"/>
      <c r="O96" s="133">
        <f t="shared" si="19"/>
        <v>65797</v>
      </c>
      <c r="P96" s="40"/>
    </row>
    <row r="97" spans="1:16" ht="45">
      <c r="A97" s="161" t="s">
        <v>436</v>
      </c>
      <c r="B97" s="171" t="s">
        <v>437</v>
      </c>
      <c r="C97" s="9"/>
      <c r="D97" s="6"/>
      <c r="E97" s="6"/>
      <c r="F97" s="7"/>
      <c r="G97" s="6"/>
      <c r="H97" s="6"/>
      <c r="I97" s="6"/>
      <c r="J97" s="6"/>
      <c r="K97" s="6"/>
      <c r="L97" s="6"/>
      <c r="M97" s="6"/>
      <c r="N97" s="7"/>
      <c r="O97" s="133">
        <f t="shared" si="19"/>
        <v>0</v>
      </c>
      <c r="P97" s="40"/>
    </row>
    <row r="98" spans="1:16" ht="30">
      <c r="A98" s="45" t="s">
        <v>224</v>
      </c>
      <c r="B98" s="151" t="s">
        <v>334</v>
      </c>
      <c r="C98" s="9">
        <v>43600</v>
      </c>
      <c r="D98" s="6"/>
      <c r="E98" s="6"/>
      <c r="F98" s="7"/>
      <c r="G98" s="6"/>
      <c r="H98" s="6"/>
      <c r="I98" s="6"/>
      <c r="J98" s="6"/>
      <c r="K98" s="6"/>
      <c r="L98" s="6"/>
      <c r="M98" s="6"/>
      <c r="N98" s="7"/>
      <c r="O98" s="133">
        <f t="shared" si="19"/>
        <v>43600</v>
      </c>
      <c r="P98" s="40"/>
    </row>
    <row r="99" spans="1:16" ht="30">
      <c r="A99" s="45" t="s">
        <v>225</v>
      </c>
      <c r="B99" s="160" t="s">
        <v>151</v>
      </c>
      <c r="C99" s="9">
        <v>65000</v>
      </c>
      <c r="D99" s="6"/>
      <c r="E99" s="6"/>
      <c r="F99" s="7"/>
      <c r="G99" s="7">
        <v>5417</v>
      </c>
      <c r="H99" s="6"/>
      <c r="I99" s="6">
        <v>6000</v>
      </c>
      <c r="J99" s="6">
        <v>2679</v>
      </c>
      <c r="K99" s="6"/>
      <c r="L99" s="6"/>
      <c r="M99" s="6"/>
      <c r="N99" s="7"/>
      <c r="O99" s="133">
        <f>SUM(C99:N99)</f>
        <v>79096</v>
      </c>
      <c r="P99" s="40"/>
    </row>
    <row r="100" spans="1:16" ht="15">
      <c r="A100" s="45" t="s">
        <v>226</v>
      </c>
      <c r="B100" s="172" t="s">
        <v>128</v>
      </c>
      <c r="C100" s="7">
        <v>64467</v>
      </c>
      <c r="D100" s="7"/>
      <c r="E100" s="7"/>
      <c r="F100" s="7"/>
      <c r="G100" s="7">
        <v>4630</v>
      </c>
      <c r="H100" s="6"/>
      <c r="I100" s="6">
        <v>69178</v>
      </c>
      <c r="J100" s="6"/>
      <c r="K100" s="6">
        <v>80708</v>
      </c>
      <c r="L100" s="6"/>
      <c r="M100" s="84">
        <v>11848</v>
      </c>
      <c r="N100" s="7"/>
      <c r="O100" s="133">
        <f aca="true" t="shared" si="21" ref="O100:O154">SUM(C100:N100)</f>
        <v>230831</v>
      </c>
      <c r="P100" s="40"/>
    </row>
    <row r="101" spans="1:16" ht="30">
      <c r="A101" s="45" t="s">
        <v>227</v>
      </c>
      <c r="B101" s="173" t="s">
        <v>335</v>
      </c>
      <c r="C101" s="6">
        <v>3000</v>
      </c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7"/>
      <c r="O101" s="133">
        <f t="shared" si="21"/>
        <v>3000</v>
      </c>
      <c r="P101" s="40"/>
    </row>
    <row r="102" spans="1:16" ht="15">
      <c r="A102" s="45" t="s">
        <v>228</v>
      </c>
      <c r="B102" s="151" t="s">
        <v>274</v>
      </c>
      <c r="C102" s="7"/>
      <c r="D102" s="7"/>
      <c r="E102" s="7"/>
      <c r="F102" s="7"/>
      <c r="G102" s="6"/>
      <c r="H102" s="6">
        <v>53749</v>
      </c>
      <c r="I102" s="6"/>
      <c r="J102" s="6">
        <v>112431</v>
      </c>
      <c r="K102" s="6">
        <v>20648</v>
      </c>
      <c r="L102" s="6">
        <v>100865</v>
      </c>
      <c r="M102" s="6"/>
      <c r="N102" s="50">
        <v>103168</v>
      </c>
      <c r="O102" s="133">
        <f t="shared" si="21"/>
        <v>390861</v>
      </c>
      <c r="P102" s="40"/>
    </row>
    <row r="103" spans="1:16" ht="15">
      <c r="A103" s="45" t="s">
        <v>336</v>
      </c>
      <c r="B103" s="174" t="s">
        <v>337</v>
      </c>
      <c r="C103" s="6">
        <v>344682</v>
      </c>
      <c r="D103" s="6"/>
      <c r="E103" s="6"/>
      <c r="F103" s="6"/>
      <c r="G103" s="6">
        <v>62457</v>
      </c>
      <c r="H103" s="6"/>
      <c r="I103" s="6"/>
      <c r="J103" s="6"/>
      <c r="K103" s="6"/>
      <c r="L103" s="6"/>
      <c r="M103" s="6">
        <v>5450</v>
      </c>
      <c r="N103" s="175"/>
      <c r="O103" s="133">
        <f t="shared" si="21"/>
        <v>412589</v>
      </c>
      <c r="P103" s="40"/>
    </row>
    <row r="104" spans="1:16" ht="30">
      <c r="A104" s="161" t="s">
        <v>438</v>
      </c>
      <c r="B104" s="176" t="s">
        <v>439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75"/>
      <c r="O104" s="133">
        <f t="shared" si="21"/>
        <v>0</v>
      </c>
      <c r="P104" s="40"/>
    </row>
    <row r="105" spans="1:16" ht="30">
      <c r="A105" s="161" t="s">
        <v>440</v>
      </c>
      <c r="B105" s="12" t="s">
        <v>441</v>
      </c>
      <c r="C105" s="7">
        <v>1372662</v>
      </c>
      <c r="D105" s="7"/>
      <c r="E105" s="7"/>
      <c r="F105" s="7"/>
      <c r="G105" s="6"/>
      <c r="H105" s="6"/>
      <c r="I105" s="6"/>
      <c r="J105" s="6"/>
      <c r="K105" s="7"/>
      <c r="L105" s="6"/>
      <c r="M105" s="6"/>
      <c r="N105" s="175"/>
      <c r="O105" s="133">
        <f t="shared" si="21"/>
        <v>1372662</v>
      </c>
      <c r="P105" s="40"/>
    </row>
    <row r="106" spans="1:16" ht="30">
      <c r="A106" s="161" t="s">
        <v>442</v>
      </c>
      <c r="B106" s="13" t="s">
        <v>443</v>
      </c>
      <c r="C106" s="7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175"/>
      <c r="O106" s="133">
        <f t="shared" si="21"/>
        <v>0</v>
      </c>
      <c r="P106" s="40"/>
    </row>
    <row r="107" spans="1:16" ht="30">
      <c r="A107" s="161" t="s">
        <v>444</v>
      </c>
      <c r="B107" s="14" t="s">
        <v>572</v>
      </c>
      <c r="C107" s="7">
        <v>29434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5"/>
      <c r="O107" s="133">
        <f t="shared" si="21"/>
        <v>29434</v>
      </c>
      <c r="P107" s="40"/>
    </row>
    <row r="108" spans="1:16" ht="30">
      <c r="A108" s="161" t="s">
        <v>445</v>
      </c>
      <c r="B108" s="14" t="s">
        <v>570</v>
      </c>
      <c r="C108" s="7">
        <v>54450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5"/>
      <c r="O108" s="133">
        <f t="shared" si="21"/>
        <v>54450</v>
      </c>
      <c r="P108" s="40"/>
    </row>
    <row r="109" spans="1:16" ht="15">
      <c r="A109" s="161" t="s">
        <v>446</v>
      </c>
      <c r="B109" s="182" t="s">
        <v>571</v>
      </c>
      <c r="C109" s="7">
        <v>40000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33">
        <f t="shared" si="21"/>
        <v>40000</v>
      </c>
      <c r="P109" s="40"/>
    </row>
    <row r="110" spans="1:16" ht="15">
      <c r="A110" s="161" t="s">
        <v>447</v>
      </c>
      <c r="B110" s="182" t="s">
        <v>448</v>
      </c>
      <c r="C110" s="7"/>
      <c r="D110" s="7"/>
      <c r="E110" s="7"/>
      <c r="F110" s="7"/>
      <c r="G110" s="7">
        <v>5430</v>
      </c>
      <c r="H110" s="7"/>
      <c r="I110" s="7"/>
      <c r="J110" s="7"/>
      <c r="K110" s="7"/>
      <c r="L110" s="7"/>
      <c r="M110" s="7"/>
      <c r="N110" s="175"/>
      <c r="O110" s="133">
        <f t="shared" si="21"/>
        <v>5430</v>
      </c>
      <c r="P110" s="40"/>
    </row>
    <row r="111" spans="1:16" ht="15.75" thickBot="1">
      <c r="A111" s="177" t="s">
        <v>552</v>
      </c>
      <c r="B111" s="225" t="s">
        <v>553</v>
      </c>
      <c r="C111" s="10">
        <v>100000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33">
        <f t="shared" si="21"/>
        <v>100000</v>
      </c>
      <c r="P111" s="40"/>
    </row>
    <row r="112" spans="1:17" ht="15.75" thickBot="1">
      <c r="A112" s="69" t="s">
        <v>5</v>
      </c>
      <c r="B112" s="36" t="s">
        <v>71</v>
      </c>
      <c r="C112" s="38">
        <f>SUM(C113+C115+C116)</f>
        <v>123369</v>
      </c>
      <c r="D112" s="38">
        <f aca="true" t="shared" si="22" ref="D112:N112">SUM(D113+D115+D116)</f>
        <v>0</v>
      </c>
      <c r="E112" s="38">
        <f t="shared" si="22"/>
        <v>0</v>
      </c>
      <c r="F112" s="38">
        <f t="shared" si="22"/>
        <v>0</v>
      </c>
      <c r="G112" s="38">
        <f t="shared" si="22"/>
        <v>1930</v>
      </c>
      <c r="H112" s="38">
        <f t="shared" si="22"/>
        <v>0</v>
      </c>
      <c r="I112" s="38">
        <f t="shared" si="22"/>
        <v>0</v>
      </c>
      <c r="J112" s="38">
        <f t="shared" si="22"/>
        <v>0</v>
      </c>
      <c r="K112" s="38">
        <f t="shared" si="22"/>
        <v>3419</v>
      </c>
      <c r="L112" s="38">
        <f t="shared" si="22"/>
        <v>29093</v>
      </c>
      <c r="M112" s="38">
        <f t="shared" si="22"/>
        <v>300</v>
      </c>
      <c r="N112" s="38">
        <f t="shared" si="22"/>
        <v>2110</v>
      </c>
      <c r="O112" s="39">
        <f>SUM(C112:N112)</f>
        <v>160221</v>
      </c>
      <c r="P112" s="40"/>
      <c r="Q112" s="40"/>
    </row>
    <row r="113" spans="1:16" s="22" customFormat="1" ht="15">
      <c r="A113" s="125" t="s">
        <v>72</v>
      </c>
      <c r="B113" s="126" t="s">
        <v>73</v>
      </c>
      <c r="C113" s="127">
        <f>SUM(C114:C114)</f>
        <v>0</v>
      </c>
      <c r="D113" s="127">
        <f aca="true" t="shared" si="23" ref="D113:N113">SUM(D114:D114)</f>
        <v>0</v>
      </c>
      <c r="E113" s="127">
        <f t="shared" si="23"/>
        <v>0</v>
      </c>
      <c r="F113" s="127">
        <f t="shared" si="23"/>
        <v>0</v>
      </c>
      <c r="G113" s="127">
        <f>SUM(G114:G114)</f>
        <v>1930</v>
      </c>
      <c r="H113" s="127">
        <f t="shared" si="23"/>
        <v>0</v>
      </c>
      <c r="I113" s="127">
        <f t="shared" si="23"/>
        <v>0</v>
      </c>
      <c r="J113" s="127">
        <f t="shared" si="23"/>
        <v>0</v>
      </c>
      <c r="K113" s="127">
        <f t="shared" si="23"/>
        <v>3419</v>
      </c>
      <c r="L113" s="127">
        <f t="shared" si="23"/>
        <v>29093</v>
      </c>
      <c r="M113" s="127">
        <f t="shared" si="23"/>
        <v>300</v>
      </c>
      <c r="N113" s="127">
        <f t="shared" si="23"/>
        <v>2110</v>
      </c>
      <c r="O113" s="44">
        <f>SUM(C113:N113)</f>
        <v>36852</v>
      </c>
      <c r="P113" s="40"/>
    </row>
    <row r="114" spans="1:16" s="22" customFormat="1" ht="15">
      <c r="A114" s="45" t="s">
        <v>338</v>
      </c>
      <c r="B114" s="46" t="s">
        <v>185</v>
      </c>
      <c r="C114" s="127"/>
      <c r="D114" s="127"/>
      <c r="E114" s="127"/>
      <c r="F114" s="127"/>
      <c r="G114" s="77">
        <v>1930</v>
      </c>
      <c r="H114" s="127"/>
      <c r="I114" s="127"/>
      <c r="J114" s="127"/>
      <c r="K114" s="77">
        <v>3419</v>
      </c>
      <c r="L114" s="127">
        <v>29093</v>
      </c>
      <c r="M114" s="80">
        <v>300</v>
      </c>
      <c r="N114" s="178">
        <v>2110</v>
      </c>
      <c r="O114" s="44">
        <f>SUM(C114:N114)</f>
        <v>36852</v>
      </c>
      <c r="P114" s="40"/>
    </row>
    <row r="115" spans="1:16" s="22" customFormat="1" ht="28.5" customHeight="1">
      <c r="A115" s="161" t="s">
        <v>339</v>
      </c>
      <c r="B115" s="179" t="s">
        <v>340</v>
      </c>
      <c r="C115" s="9">
        <v>103000</v>
      </c>
      <c r="D115" s="127"/>
      <c r="E115" s="127"/>
      <c r="F115" s="127"/>
      <c r="G115" s="77"/>
      <c r="H115" s="127"/>
      <c r="I115" s="127"/>
      <c r="J115" s="127"/>
      <c r="K115" s="77"/>
      <c r="L115" s="127"/>
      <c r="M115" s="80"/>
      <c r="N115" s="64"/>
      <c r="O115" s="133">
        <f t="shared" si="21"/>
        <v>103000</v>
      </c>
      <c r="P115" s="40"/>
    </row>
    <row r="116" spans="1:16" ht="15.75" thickBot="1">
      <c r="A116" s="161" t="s">
        <v>449</v>
      </c>
      <c r="B116" s="180" t="s">
        <v>450</v>
      </c>
      <c r="C116" s="7">
        <v>20369</v>
      </c>
      <c r="D116" s="6"/>
      <c r="E116" s="6"/>
      <c r="F116" s="7"/>
      <c r="G116" s="6"/>
      <c r="H116" s="6"/>
      <c r="I116" s="6"/>
      <c r="J116" s="6"/>
      <c r="K116" s="6"/>
      <c r="L116" s="6"/>
      <c r="M116" s="6"/>
      <c r="N116" s="7"/>
      <c r="O116" s="133">
        <f t="shared" si="21"/>
        <v>20369</v>
      </c>
      <c r="P116" s="40"/>
    </row>
    <row r="117" spans="1:17" ht="15.75" thickBot="1">
      <c r="A117" s="69" t="s">
        <v>10</v>
      </c>
      <c r="B117" s="36" t="s">
        <v>74</v>
      </c>
      <c r="C117" s="38">
        <f aca="true" t="shared" si="24" ref="C117:N117">C118+C122+C141+C144</f>
        <v>1857553</v>
      </c>
      <c r="D117" s="38">
        <f t="shared" si="24"/>
        <v>345453</v>
      </c>
      <c r="E117" s="38">
        <f t="shared" si="24"/>
        <v>1467842</v>
      </c>
      <c r="F117" s="38">
        <f t="shared" si="24"/>
        <v>0</v>
      </c>
      <c r="G117" s="38">
        <f t="shared" si="24"/>
        <v>209260</v>
      </c>
      <c r="H117" s="38">
        <f t="shared" si="24"/>
        <v>103423</v>
      </c>
      <c r="I117" s="38">
        <f t="shared" si="24"/>
        <v>118601</v>
      </c>
      <c r="J117" s="38">
        <f t="shared" si="24"/>
        <v>184713</v>
      </c>
      <c r="K117" s="38">
        <f t="shared" si="24"/>
        <v>39922</v>
      </c>
      <c r="L117" s="38">
        <f t="shared" si="24"/>
        <v>32741</v>
      </c>
      <c r="M117" s="38">
        <f t="shared" si="24"/>
        <v>80274</v>
      </c>
      <c r="N117" s="38">
        <f t="shared" si="24"/>
        <v>56768</v>
      </c>
      <c r="O117" s="39">
        <f t="shared" si="21"/>
        <v>4496550</v>
      </c>
      <c r="P117" s="40"/>
      <c r="Q117" s="40"/>
    </row>
    <row r="118" spans="1:16" ht="15">
      <c r="A118" s="125" t="s">
        <v>75</v>
      </c>
      <c r="B118" s="126" t="s">
        <v>76</v>
      </c>
      <c r="C118" s="127">
        <f aca="true" t="shared" si="25" ref="C118:N118">SUM(C119:C121)</f>
        <v>478999</v>
      </c>
      <c r="D118" s="127">
        <f>SUM(D119:D121)</f>
        <v>345453</v>
      </c>
      <c r="E118" s="127">
        <f t="shared" si="25"/>
        <v>0</v>
      </c>
      <c r="F118" s="127">
        <f t="shared" si="25"/>
        <v>0</v>
      </c>
      <c r="G118" s="127">
        <f t="shared" si="25"/>
        <v>5470</v>
      </c>
      <c r="H118" s="127">
        <f t="shared" si="25"/>
        <v>0</v>
      </c>
      <c r="I118" s="127">
        <f t="shared" si="25"/>
        <v>0</v>
      </c>
      <c r="J118" s="127">
        <f t="shared" si="25"/>
        <v>6359</v>
      </c>
      <c r="K118" s="127">
        <f t="shared" si="25"/>
        <v>0</v>
      </c>
      <c r="L118" s="127">
        <f t="shared" si="25"/>
        <v>0</v>
      </c>
      <c r="M118" s="127">
        <f t="shared" si="25"/>
        <v>10961</v>
      </c>
      <c r="N118" s="127">
        <f t="shared" si="25"/>
        <v>0</v>
      </c>
      <c r="O118" s="166">
        <f t="shared" si="21"/>
        <v>847242</v>
      </c>
      <c r="P118" s="40"/>
    </row>
    <row r="119" spans="1:16" ht="15">
      <c r="A119" s="45" t="s">
        <v>229</v>
      </c>
      <c r="B119" s="46" t="s">
        <v>77</v>
      </c>
      <c r="C119" s="7">
        <f>54387+12000</f>
        <v>66387</v>
      </c>
      <c r="D119" s="6"/>
      <c r="E119" s="6"/>
      <c r="F119" s="7"/>
      <c r="G119" s="6">
        <v>5470</v>
      </c>
      <c r="H119" s="6"/>
      <c r="I119" s="6"/>
      <c r="J119" s="6">
        <v>6359</v>
      </c>
      <c r="K119" s="6"/>
      <c r="L119" s="6"/>
      <c r="M119" s="84">
        <v>10961</v>
      </c>
      <c r="N119" s="7"/>
      <c r="O119" s="133">
        <f t="shared" si="21"/>
        <v>89177</v>
      </c>
      <c r="P119" s="40"/>
    </row>
    <row r="120" spans="1:16" ht="30">
      <c r="A120" s="45" t="s">
        <v>230</v>
      </c>
      <c r="B120" s="46" t="s">
        <v>78</v>
      </c>
      <c r="C120" s="7">
        <f>261612+151000</f>
        <v>412612</v>
      </c>
      <c r="D120" s="6"/>
      <c r="E120" s="6"/>
      <c r="F120" s="7"/>
      <c r="G120" s="6"/>
      <c r="H120" s="6"/>
      <c r="I120" s="6"/>
      <c r="J120" s="6"/>
      <c r="K120" s="6"/>
      <c r="L120" s="6"/>
      <c r="M120" s="6"/>
      <c r="N120" s="7"/>
      <c r="O120" s="133">
        <f t="shared" si="21"/>
        <v>412612</v>
      </c>
      <c r="P120" s="40"/>
    </row>
    <row r="121" spans="1:16" ht="15">
      <c r="A121" s="45" t="s">
        <v>303</v>
      </c>
      <c r="B121" s="46" t="s">
        <v>304</v>
      </c>
      <c r="C121" s="7"/>
      <c r="D121" s="7">
        <v>345453</v>
      </c>
      <c r="E121" s="7"/>
      <c r="F121" s="7"/>
      <c r="G121" s="6"/>
      <c r="H121" s="7"/>
      <c r="I121" s="7"/>
      <c r="J121" s="7"/>
      <c r="K121" s="7"/>
      <c r="L121" s="7"/>
      <c r="M121" s="7"/>
      <c r="N121" s="7"/>
      <c r="O121" s="133">
        <f t="shared" si="21"/>
        <v>345453</v>
      </c>
      <c r="P121" s="40"/>
    </row>
    <row r="122" spans="1:16" ht="15">
      <c r="A122" s="132" t="s">
        <v>79</v>
      </c>
      <c r="B122" s="134" t="s">
        <v>9</v>
      </c>
      <c r="C122" s="83">
        <f>SUM(C123+C124+C127+C131)</f>
        <v>1269207</v>
      </c>
      <c r="D122" s="83">
        <f aca="true" t="shared" si="26" ref="D122:N122">SUM(D123+D124+D127+D131)</f>
        <v>0</v>
      </c>
      <c r="E122" s="83">
        <f t="shared" si="26"/>
        <v>1467842</v>
      </c>
      <c r="F122" s="83">
        <f t="shared" si="26"/>
        <v>0</v>
      </c>
      <c r="G122" s="83">
        <f>SUM(G123+G124+G127+G131)</f>
        <v>203790</v>
      </c>
      <c r="H122" s="83">
        <f t="shared" si="26"/>
        <v>103423</v>
      </c>
      <c r="I122" s="83">
        <f t="shared" si="26"/>
        <v>114767</v>
      </c>
      <c r="J122" s="83">
        <f t="shared" si="26"/>
        <v>171772</v>
      </c>
      <c r="K122" s="83">
        <f t="shared" si="26"/>
        <v>39922</v>
      </c>
      <c r="L122" s="83">
        <f t="shared" si="26"/>
        <v>32741</v>
      </c>
      <c r="M122" s="83">
        <f>SUM(M123+M124+M127+M131)</f>
        <v>69313</v>
      </c>
      <c r="N122" s="83">
        <f t="shared" si="26"/>
        <v>56768</v>
      </c>
      <c r="O122" s="133">
        <f t="shared" si="21"/>
        <v>3529545</v>
      </c>
      <c r="P122" s="40"/>
    </row>
    <row r="123" spans="1:16" ht="15">
      <c r="A123" s="45" t="s">
        <v>341</v>
      </c>
      <c r="B123" s="46" t="s">
        <v>186</v>
      </c>
      <c r="C123" s="7">
        <f>367416+300000+12100</f>
        <v>679516</v>
      </c>
      <c r="D123" s="6"/>
      <c r="E123" s="6"/>
      <c r="F123" s="7"/>
      <c r="G123" s="49">
        <v>31470</v>
      </c>
      <c r="H123" s="6">
        <v>29941</v>
      </c>
      <c r="I123" s="6">
        <v>14742</v>
      </c>
      <c r="J123" s="6">
        <v>32008</v>
      </c>
      <c r="K123" s="6">
        <v>14989</v>
      </c>
      <c r="L123" s="6">
        <v>13903</v>
      </c>
      <c r="M123" s="84">
        <v>16033</v>
      </c>
      <c r="N123" s="50">
        <v>17019</v>
      </c>
      <c r="O123" s="133">
        <f t="shared" si="21"/>
        <v>849621</v>
      </c>
      <c r="P123" s="40"/>
    </row>
    <row r="124" spans="1:16" ht="15">
      <c r="A124" s="45" t="s">
        <v>80</v>
      </c>
      <c r="B124" s="46" t="s">
        <v>116</v>
      </c>
      <c r="C124" s="7">
        <f aca="true" t="shared" si="27" ref="C124:N124">SUM(C125:C126)</f>
        <v>192280</v>
      </c>
      <c r="D124" s="7">
        <f t="shared" si="27"/>
        <v>0</v>
      </c>
      <c r="E124" s="7">
        <f t="shared" si="27"/>
        <v>0</v>
      </c>
      <c r="F124" s="7">
        <f t="shared" si="27"/>
        <v>0</v>
      </c>
      <c r="G124" s="7">
        <f t="shared" si="27"/>
        <v>0</v>
      </c>
      <c r="H124" s="7">
        <f t="shared" si="27"/>
        <v>0</v>
      </c>
      <c r="I124" s="7">
        <f t="shared" si="27"/>
        <v>0</v>
      </c>
      <c r="J124" s="7">
        <f t="shared" si="27"/>
        <v>0</v>
      </c>
      <c r="K124" s="7">
        <f t="shared" si="27"/>
        <v>0</v>
      </c>
      <c r="L124" s="7">
        <f t="shared" si="27"/>
        <v>0</v>
      </c>
      <c r="M124" s="7">
        <f t="shared" si="27"/>
        <v>12608</v>
      </c>
      <c r="N124" s="7">
        <f t="shared" si="27"/>
        <v>0</v>
      </c>
      <c r="O124" s="133">
        <f t="shared" si="21"/>
        <v>204888</v>
      </c>
      <c r="P124" s="40"/>
    </row>
    <row r="125" spans="1:16" ht="15">
      <c r="A125" s="45" t="s">
        <v>231</v>
      </c>
      <c r="B125" s="46" t="s">
        <v>280</v>
      </c>
      <c r="C125" s="7">
        <v>192280</v>
      </c>
      <c r="D125" s="6"/>
      <c r="E125" s="6"/>
      <c r="F125" s="7"/>
      <c r="G125" s="6"/>
      <c r="H125" s="6"/>
      <c r="I125" s="6"/>
      <c r="J125" s="6"/>
      <c r="K125" s="6"/>
      <c r="L125" s="6"/>
      <c r="M125" s="6"/>
      <c r="N125" s="65"/>
      <c r="O125" s="133">
        <f t="shared" si="21"/>
        <v>192280</v>
      </c>
      <c r="P125" s="40"/>
    </row>
    <row r="126" spans="1:16" ht="15">
      <c r="A126" s="45" t="s">
        <v>366</v>
      </c>
      <c r="B126" s="151" t="s">
        <v>367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4">
        <v>12608</v>
      </c>
      <c r="N126" s="65"/>
      <c r="O126" s="133">
        <f t="shared" si="21"/>
        <v>12608</v>
      </c>
      <c r="P126" s="40"/>
    </row>
    <row r="127" spans="1:16" ht="15">
      <c r="A127" s="45" t="s">
        <v>269</v>
      </c>
      <c r="B127" s="46" t="s">
        <v>232</v>
      </c>
      <c r="C127" s="7">
        <f>SUM(C128:C130)</f>
        <v>0</v>
      </c>
      <c r="D127" s="7">
        <f aca="true" t="shared" si="28" ref="D127:N127">SUM(D128:D130)</f>
        <v>0</v>
      </c>
      <c r="E127" s="7">
        <f>SUM(E128:E130)</f>
        <v>1467842</v>
      </c>
      <c r="F127" s="7">
        <f t="shared" si="28"/>
        <v>0</v>
      </c>
      <c r="G127" s="7">
        <f t="shared" si="28"/>
        <v>172320</v>
      </c>
      <c r="H127" s="7">
        <f t="shared" si="28"/>
        <v>73482</v>
      </c>
      <c r="I127" s="7">
        <f t="shared" si="28"/>
        <v>100025</v>
      </c>
      <c r="J127" s="7">
        <f t="shared" si="28"/>
        <v>139764</v>
      </c>
      <c r="K127" s="7">
        <f t="shared" si="28"/>
        <v>24933</v>
      </c>
      <c r="L127" s="7">
        <f t="shared" si="28"/>
        <v>18838</v>
      </c>
      <c r="M127" s="7">
        <f t="shared" si="28"/>
        <v>40672</v>
      </c>
      <c r="N127" s="7">
        <f t="shared" si="28"/>
        <v>32249</v>
      </c>
      <c r="O127" s="133">
        <f t="shared" si="21"/>
        <v>2070125</v>
      </c>
      <c r="P127" s="40"/>
    </row>
    <row r="128" spans="1:16" ht="15">
      <c r="A128" s="45" t="s">
        <v>343</v>
      </c>
      <c r="B128" s="46" t="s">
        <v>342</v>
      </c>
      <c r="C128" s="7"/>
      <c r="D128" s="6"/>
      <c r="E128" s="6">
        <v>385884</v>
      </c>
      <c r="F128" s="7"/>
      <c r="G128" s="49">
        <v>172320</v>
      </c>
      <c r="H128" s="6">
        <v>73482</v>
      </c>
      <c r="I128" s="6">
        <v>79750</v>
      </c>
      <c r="J128" s="6">
        <v>139764</v>
      </c>
      <c r="K128" s="6">
        <v>24933</v>
      </c>
      <c r="L128" s="6">
        <v>18838</v>
      </c>
      <c r="M128" s="84">
        <v>40672</v>
      </c>
      <c r="N128" s="50">
        <v>32249</v>
      </c>
      <c r="O128" s="133">
        <f t="shared" si="21"/>
        <v>967892</v>
      </c>
      <c r="P128" s="40"/>
    </row>
    <row r="129" spans="1:16" ht="15">
      <c r="A129" s="45" t="s">
        <v>364</v>
      </c>
      <c r="B129" s="46" t="s">
        <v>365</v>
      </c>
      <c r="C129" s="7"/>
      <c r="D129" s="6"/>
      <c r="E129" s="6"/>
      <c r="F129" s="7"/>
      <c r="G129" s="181"/>
      <c r="H129" s="6"/>
      <c r="I129" s="6">
        <v>20275</v>
      </c>
      <c r="J129" s="6"/>
      <c r="K129" s="6"/>
      <c r="L129" s="6"/>
      <c r="M129" s="6"/>
      <c r="N129" s="65"/>
      <c r="O129" s="133">
        <f t="shared" si="21"/>
        <v>20275</v>
      </c>
      <c r="P129" s="40"/>
    </row>
    <row r="130" spans="1:16" ht="15">
      <c r="A130" s="45" t="s">
        <v>344</v>
      </c>
      <c r="B130" s="46" t="s">
        <v>117</v>
      </c>
      <c r="C130" s="7"/>
      <c r="D130" s="6"/>
      <c r="E130" s="6">
        <f>1069126+12832</f>
        <v>1081958</v>
      </c>
      <c r="F130" s="7"/>
      <c r="G130" s="6"/>
      <c r="H130" s="6"/>
      <c r="I130" s="6"/>
      <c r="J130" s="6"/>
      <c r="K130" s="6"/>
      <c r="L130" s="6"/>
      <c r="M130" s="6"/>
      <c r="N130" s="7"/>
      <c r="O130" s="133">
        <f t="shared" si="21"/>
        <v>1081958</v>
      </c>
      <c r="P130" s="40"/>
    </row>
    <row r="131" spans="1:16" s="22" customFormat="1" ht="15">
      <c r="A131" s="132" t="s">
        <v>81</v>
      </c>
      <c r="B131" s="79" t="s">
        <v>233</v>
      </c>
      <c r="C131" s="80">
        <f aca="true" t="shared" si="29" ref="C131:N131">SUM(C132:C140)</f>
        <v>397411</v>
      </c>
      <c r="D131" s="80">
        <f t="shared" si="29"/>
        <v>0</v>
      </c>
      <c r="E131" s="80">
        <f t="shared" si="29"/>
        <v>0</v>
      </c>
      <c r="F131" s="80">
        <f t="shared" si="29"/>
        <v>0</v>
      </c>
      <c r="G131" s="80">
        <f t="shared" si="29"/>
        <v>0</v>
      </c>
      <c r="H131" s="80">
        <f t="shared" si="29"/>
        <v>0</v>
      </c>
      <c r="I131" s="80">
        <f t="shared" si="29"/>
        <v>0</v>
      </c>
      <c r="J131" s="80">
        <f t="shared" si="29"/>
        <v>0</v>
      </c>
      <c r="K131" s="80">
        <f t="shared" si="29"/>
        <v>0</v>
      </c>
      <c r="L131" s="80">
        <f t="shared" si="29"/>
        <v>0</v>
      </c>
      <c r="M131" s="80">
        <f t="shared" si="29"/>
        <v>0</v>
      </c>
      <c r="N131" s="80">
        <f t="shared" si="29"/>
        <v>7500</v>
      </c>
      <c r="O131" s="133">
        <f t="shared" si="21"/>
        <v>404911</v>
      </c>
      <c r="P131" s="40"/>
    </row>
    <row r="132" spans="1:16" ht="15">
      <c r="A132" s="45" t="s">
        <v>234</v>
      </c>
      <c r="B132" s="151" t="s">
        <v>345</v>
      </c>
      <c r="C132" s="7">
        <v>72604</v>
      </c>
      <c r="D132" s="6"/>
      <c r="E132" s="6"/>
      <c r="F132" s="7"/>
      <c r="G132" s="6"/>
      <c r="H132" s="6"/>
      <c r="I132" s="6"/>
      <c r="J132" s="6"/>
      <c r="K132" s="6"/>
      <c r="L132" s="6"/>
      <c r="M132" s="6"/>
      <c r="N132" s="7">
        <v>7500</v>
      </c>
      <c r="O132" s="133">
        <f t="shared" si="21"/>
        <v>80104</v>
      </c>
      <c r="P132" s="40"/>
    </row>
    <row r="133" spans="1:16" ht="15">
      <c r="A133" s="45" t="s">
        <v>235</v>
      </c>
      <c r="B133" s="151" t="s">
        <v>118</v>
      </c>
      <c r="C133" s="7">
        <v>153525</v>
      </c>
      <c r="D133" s="6"/>
      <c r="E133" s="6"/>
      <c r="F133" s="7"/>
      <c r="G133" s="6"/>
      <c r="H133" s="6"/>
      <c r="I133" s="6"/>
      <c r="J133" s="6"/>
      <c r="K133" s="6"/>
      <c r="L133" s="6"/>
      <c r="M133" s="6"/>
      <c r="N133" s="7"/>
      <c r="O133" s="133">
        <f t="shared" si="21"/>
        <v>153525</v>
      </c>
      <c r="P133" s="40"/>
    </row>
    <row r="134" spans="1:16" ht="30">
      <c r="A134" s="45" t="s">
        <v>346</v>
      </c>
      <c r="B134" s="151" t="s">
        <v>347</v>
      </c>
      <c r="C134" s="7">
        <v>20000</v>
      </c>
      <c r="D134" s="6"/>
      <c r="E134" s="6"/>
      <c r="F134" s="7"/>
      <c r="G134" s="6"/>
      <c r="H134" s="6"/>
      <c r="I134" s="6"/>
      <c r="J134" s="6"/>
      <c r="K134" s="6"/>
      <c r="L134" s="6"/>
      <c r="M134" s="6"/>
      <c r="N134" s="7"/>
      <c r="O134" s="133">
        <f t="shared" si="21"/>
        <v>20000</v>
      </c>
      <c r="P134" s="40"/>
    </row>
    <row r="135" spans="1:16" ht="30">
      <c r="A135" s="161" t="s">
        <v>451</v>
      </c>
      <c r="B135" s="182" t="s">
        <v>452</v>
      </c>
      <c r="C135" s="7"/>
      <c r="D135" s="6"/>
      <c r="E135" s="6"/>
      <c r="F135" s="7"/>
      <c r="G135" s="6"/>
      <c r="H135" s="6"/>
      <c r="I135" s="6"/>
      <c r="J135" s="6"/>
      <c r="K135" s="6"/>
      <c r="L135" s="6"/>
      <c r="M135" s="6"/>
      <c r="N135" s="7"/>
      <c r="O135" s="133">
        <f t="shared" si="21"/>
        <v>0</v>
      </c>
      <c r="P135" s="40"/>
    </row>
    <row r="136" spans="1:16" ht="45">
      <c r="A136" s="45" t="s">
        <v>305</v>
      </c>
      <c r="B136" s="183" t="s">
        <v>313</v>
      </c>
      <c r="C136" s="7">
        <v>20000</v>
      </c>
      <c r="D136" s="6"/>
      <c r="E136" s="6"/>
      <c r="F136" s="7"/>
      <c r="G136" s="6"/>
      <c r="H136" s="6"/>
      <c r="I136" s="6"/>
      <c r="J136" s="6"/>
      <c r="K136" s="6"/>
      <c r="L136" s="6"/>
      <c r="M136" s="6"/>
      <c r="N136" s="7"/>
      <c r="O136" s="133">
        <f t="shared" si="21"/>
        <v>20000</v>
      </c>
      <c r="P136" s="40"/>
    </row>
    <row r="137" spans="1:16" ht="45">
      <c r="A137" s="161" t="s">
        <v>453</v>
      </c>
      <c r="B137" s="14" t="s">
        <v>454</v>
      </c>
      <c r="C137" s="7">
        <v>47418</v>
      </c>
      <c r="D137" s="6"/>
      <c r="E137" s="6"/>
      <c r="F137" s="7"/>
      <c r="G137" s="6"/>
      <c r="H137" s="6"/>
      <c r="I137" s="6"/>
      <c r="J137" s="6"/>
      <c r="K137" s="6"/>
      <c r="L137" s="6"/>
      <c r="M137" s="6"/>
      <c r="N137" s="7"/>
      <c r="O137" s="133">
        <f t="shared" si="21"/>
        <v>47418</v>
      </c>
      <c r="P137" s="40"/>
    </row>
    <row r="138" spans="1:16" ht="45">
      <c r="A138" s="161" t="s">
        <v>455</v>
      </c>
      <c r="B138" s="14" t="s">
        <v>456</v>
      </c>
      <c r="C138" s="7"/>
      <c r="D138" s="6"/>
      <c r="E138" s="6"/>
      <c r="F138" s="7"/>
      <c r="G138" s="6"/>
      <c r="H138" s="6"/>
      <c r="I138" s="6"/>
      <c r="J138" s="6"/>
      <c r="K138" s="6"/>
      <c r="L138" s="6"/>
      <c r="M138" s="6"/>
      <c r="N138" s="7"/>
      <c r="O138" s="133">
        <f t="shared" si="21"/>
        <v>0</v>
      </c>
      <c r="P138" s="40"/>
    </row>
    <row r="139" spans="1:16" ht="30">
      <c r="A139" s="161" t="s">
        <v>457</v>
      </c>
      <c r="B139" s="14" t="s">
        <v>458</v>
      </c>
      <c r="C139" s="7">
        <v>61672</v>
      </c>
      <c r="D139" s="6"/>
      <c r="E139" s="6"/>
      <c r="F139" s="7"/>
      <c r="G139" s="6"/>
      <c r="H139" s="6"/>
      <c r="I139" s="6"/>
      <c r="J139" s="6"/>
      <c r="K139" s="6"/>
      <c r="L139" s="6"/>
      <c r="M139" s="6"/>
      <c r="N139" s="7"/>
      <c r="O139" s="133">
        <f t="shared" si="21"/>
        <v>61672</v>
      </c>
      <c r="P139" s="40"/>
    </row>
    <row r="140" spans="1:16" ht="30">
      <c r="A140" s="161" t="s">
        <v>459</v>
      </c>
      <c r="B140" s="14" t="s">
        <v>460</v>
      </c>
      <c r="C140" s="7">
        <v>22192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33">
        <f t="shared" si="21"/>
        <v>22192</v>
      </c>
      <c r="P140" s="40"/>
    </row>
    <row r="141" spans="1:16" ht="15">
      <c r="A141" s="132" t="s">
        <v>348</v>
      </c>
      <c r="B141" s="184" t="s">
        <v>349</v>
      </c>
      <c r="C141" s="83">
        <f>SUM(C142:C143)</f>
        <v>94347</v>
      </c>
      <c r="D141" s="83">
        <f aca="true" t="shared" si="30" ref="D141:N141">SUM(D142:D143)</f>
        <v>0</v>
      </c>
      <c r="E141" s="83">
        <f t="shared" si="30"/>
        <v>0</v>
      </c>
      <c r="F141" s="83">
        <f t="shared" si="30"/>
        <v>0</v>
      </c>
      <c r="G141" s="83">
        <f t="shared" si="30"/>
        <v>0</v>
      </c>
      <c r="H141" s="83">
        <f t="shared" si="30"/>
        <v>0</v>
      </c>
      <c r="I141" s="83">
        <f t="shared" si="30"/>
        <v>3834</v>
      </c>
      <c r="J141" s="83">
        <f t="shared" si="30"/>
        <v>6582</v>
      </c>
      <c r="K141" s="83">
        <f t="shared" si="30"/>
        <v>0</v>
      </c>
      <c r="L141" s="83">
        <f t="shared" si="30"/>
        <v>0</v>
      </c>
      <c r="M141" s="83">
        <f t="shared" si="30"/>
        <v>0</v>
      </c>
      <c r="N141" s="83">
        <f t="shared" si="30"/>
        <v>0</v>
      </c>
      <c r="O141" s="133">
        <f t="shared" si="21"/>
        <v>104763</v>
      </c>
      <c r="P141" s="40"/>
    </row>
    <row r="142" spans="1:16" ht="15">
      <c r="A142" s="185" t="s">
        <v>461</v>
      </c>
      <c r="B142" s="79" t="s">
        <v>82</v>
      </c>
      <c r="C142" s="7">
        <f>9800+13800</f>
        <v>23600</v>
      </c>
      <c r="D142" s="80"/>
      <c r="E142" s="80"/>
      <c r="F142" s="83"/>
      <c r="G142" s="6"/>
      <c r="H142" s="6"/>
      <c r="I142" s="6"/>
      <c r="J142" s="6">
        <v>2300</v>
      </c>
      <c r="K142" s="6"/>
      <c r="L142" s="6"/>
      <c r="M142" s="6"/>
      <c r="N142" s="7"/>
      <c r="O142" s="133">
        <f t="shared" si="21"/>
        <v>25900</v>
      </c>
      <c r="P142" s="40"/>
    </row>
    <row r="143" spans="1:16" ht="19.5" customHeight="1">
      <c r="A143" s="185" t="s">
        <v>462</v>
      </c>
      <c r="B143" s="79" t="s">
        <v>107</v>
      </c>
      <c r="C143" s="7">
        <v>70747</v>
      </c>
      <c r="D143" s="80"/>
      <c r="E143" s="80"/>
      <c r="F143" s="83"/>
      <c r="G143" s="6"/>
      <c r="H143" s="6"/>
      <c r="I143" s="6">
        <v>3834</v>
      </c>
      <c r="J143" s="6">
        <v>4282</v>
      </c>
      <c r="K143" s="6"/>
      <c r="L143" s="6"/>
      <c r="M143" s="6"/>
      <c r="N143" s="7"/>
      <c r="O143" s="133">
        <f t="shared" si="21"/>
        <v>78863</v>
      </c>
      <c r="P143" s="40"/>
    </row>
    <row r="144" spans="1:16" ht="45" customHeight="1" thickBot="1">
      <c r="A144" s="186" t="s">
        <v>350</v>
      </c>
      <c r="B144" s="67" t="s">
        <v>463</v>
      </c>
      <c r="C144" s="148">
        <v>15000</v>
      </c>
      <c r="D144" s="187"/>
      <c r="E144" s="187"/>
      <c r="F144" s="148"/>
      <c r="G144" s="68"/>
      <c r="H144" s="68"/>
      <c r="I144" s="68"/>
      <c r="J144" s="68"/>
      <c r="K144" s="68"/>
      <c r="L144" s="68"/>
      <c r="M144" s="68"/>
      <c r="N144" s="10"/>
      <c r="O144" s="133">
        <f t="shared" si="21"/>
        <v>15000</v>
      </c>
      <c r="P144" s="40"/>
    </row>
    <row r="145" spans="1:17" ht="15.75" thickBot="1">
      <c r="A145" s="188" t="s">
        <v>83</v>
      </c>
      <c r="B145" s="165" t="s">
        <v>7</v>
      </c>
      <c r="C145" s="37">
        <f aca="true" t="shared" si="31" ref="C145:N145">C146+C156+C157+C168+C175+C179+C180</f>
        <v>26296984</v>
      </c>
      <c r="D145" s="37">
        <f t="shared" si="31"/>
        <v>0</v>
      </c>
      <c r="E145" s="37">
        <f t="shared" si="31"/>
        <v>0</v>
      </c>
      <c r="F145" s="37">
        <f t="shared" si="31"/>
        <v>0</v>
      </c>
      <c r="G145" s="37">
        <f t="shared" si="31"/>
        <v>1096070</v>
      </c>
      <c r="H145" s="37">
        <f t="shared" si="31"/>
        <v>0</v>
      </c>
      <c r="I145" s="37">
        <f t="shared" si="31"/>
        <v>427225</v>
      </c>
      <c r="J145" s="37">
        <f t="shared" si="31"/>
        <v>1200558</v>
      </c>
      <c r="K145" s="37">
        <f t="shared" si="31"/>
        <v>43934</v>
      </c>
      <c r="L145" s="37">
        <f t="shared" si="31"/>
        <v>65132</v>
      </c>
      <c r="M145" s="37">
        <f t="shared" si="31"/>
        <v>38053</v>
      </c>
      <c r="N145" s="37">
        <f t="shared" si="31"/>
        <v>610593</v>
      </c>
      <c r="O145" s="39">
        <f t="shared" si="21"/>
        <v>29778549</v>
      </c>
      <c r="P145" s="40"/>
      <c r="Q145" s="40"/>
    </row>
    <row r="146" spans="1:16" ht="15">
      <c r="A146" s="125" t="s">
        <v>84</v>
      </c>
      <c r="B146" s="126" t="s">
        <v>271</v>
      </c>
      <c r="C146" s="127">
        <f>SUM(C147:C155)</f>
        <v>4708853</v>
      </c>
      <c r="D146" s="127">
        <f aca="true" t="shared" si="32" ref="D146:N146">SUM(D147:D155)</f>
        <v>0</v>
      </c>
      <c r="E146" s="127">
        <f t="shared" si="32"/>
        <v>0</v>
      </c>
      <c r="F146" s="127">
        <f t="shared" si="32"/>
        <v>0</v>
      </c>
      <c r="G146" s="127">
        <f t="shared" si="32"/>
        <v>0</v>
      </c>
      <c r="H146" s="127">
        <f t="shared" si="32"/>
        <v>0</v>
      </c>
      <c r="I146" s="127">
        <f t="shared" si="32"/>
        <v>0</v>
      </c>
      <c r="J146" s="127">
        <f t="shared" si="32"/>
        <v>376177</v>
      </c>
      <c r="K146" s="127">
        <f t="shared" si="32"/>
        <v>0</v>
      </c>
      <c r="L146" s="127">
        <f t="shared" si="32"/>
        <v>0</v>
      </c>
      <c r="M146" s="127">
        <f t="shared" si="32"/>
        <v>0</v>
      </c>
      <c r="N146" s="127">
        <f t="shared" si="32"/>
        <v>0</v>
      </c>
      <c r="O146" s="166">
        <f t="shared" si="21"/>
        <v>5085030</v>
      </c>
      <c r="P146" s="40"/>
    </row>
    <row r="147" spans="1:16" ht="15">
      <c r="A147" s="45" t="s">
        <v>236</v>
      </c>
      <c r="B147" s="46" t="s">
        <v>85</v>
      </c>
      <c r="C147" s="7">
        <f>866212+5562</f>
        <v>871774</v>
      </c>
      <c r="D147" s="6"/>
      <c r="E147" s="6"/>
      <c r="F147" s="7"/>
      <c r="G147" s="6"/>
      <c r="H147" s="6"/>
      <c r="I147" s="6"/>
      <c r="J147" s="6"/>
      <c r="K147" s="6"/>
      <c r="L147" s="6"/>
      <c r="M147" s="6"/>
      <c r="N147" s="7"/>
      <c r="O147" s="133">
        <f t="shared" si="21"/>
        <v>871774</v>
      </c>
      <c r="P147" s="40"/>
    </row>
    <row r="148" spans="1:16" ht="15">
      <c r="A148" s="45" t="s">
        <v>237</v>
      </c>
      <c r="B148" s="46" t="s">
        <v>86</v>
      </c>
      <c r="C148" s="7">
        <v>620403</v>
      </c>
      <c r="D148" s="6"/>
      <c r="E148" s="6"/>
      <c r="F148" s="7"/>
      <c r="G148" s="6"/>
      <c r="H148" s="6"/>
      <c r="I148" s="6"/>
      <c r="J148" s="6"/>
      <c r="K148" s="6"/>
      <c r="L148" s="6"/>
      <c r="M148" s="6"/>
      <c r="N148" s="7"/>
      <c r="O148" s="133">
        <f t="shared" si="21"/>
        <v>620403</v>
      </c>
      <c r="P148" s="40"/>
    </row>
    <row r="149" spans="1:16" ht="15">
      <c r="A149" s="45" t="s">
        <v>238</v>
      </c>
      <c r="B149" s="46" t="s">
        <v>87</v>
      </c>
      <c r="C149" s="7">
        <v>651038</v>
      </c>
      <c r="D149" s="6"/>
      <c r="E149" s="6"/>
      <c r="F149" s="7"/>
      <c r="G149" s="6"/>
      <c r="H149" s="6"/>
      <c r="I149" s="6"/>
      <c r="J149" s="6"/>
      <c r="K149" s="6"/>
      <c r="L149" s="6"/>
      <c r="M149" s="6"/>
      <c r="N149" s="7"/>
      <c r="O149" s="133">
        <f t="shared" si="21"/>
        <v>651038</v>
      </c>
      <c r="P149" s="40"/>
    </row>
    <row r="150" spans="1:16" ht="15">
      <c r="A150" s="45" t="s">
        <v>239</v>
      </c>
      <c r="B150" s="46" t="s">
        <v>88</v>
      </c>
      <c r="C150" s="7">
        <v>742565</v>
      </c>
      <c r="D150" s="6"/>
      <c r="E150" s="6"/>
      <c r="F150" s="7"/>
      <c r="G150" s="6"/>
      <c r="H150" s="6"/>
      <c r="I150" s="6"/>
      <c r="J150" s="6"/>
      <c r="K150" s="6"/>
      <c r="L150" s="6"/>
      <c r="M150" s="6"/>
      <c r="N150" s="7"/>
      <c r="O150" s="133">
        <f t="shared" si="21"/>
        <v>742565</v>
      </c>
      <c r="P150" s="40"/>
    </row>
    <row r="151" spans="1:16" ht="15">
      <c r="A151" s="45" t="s">
        <v>240</v>
      </c>
      <c r="B151" s="46" t="s">
        <v>89</v>
      </c>
      <c r="C151" s="7">
        <v>409914</v>
      </c>
      <c r="D151" s="6"/>
      <c r="E151" s="6"/>
      <c r="F151" s="7"/>
      <c r="G151" s="6"/>
      <c r="H151" s="6"/>
      <c r="I151" s="6"/>
      <c r="J151" s="6"/>
      <c r="K151" s="6"/>
      <c r="L151" s="6"/>
      <c r="M151" s="6"/>
      <c r="N151" s="7"/>
      <c r="O151" s="133">
        <f t="shared" si="21"/>
        <v>409914</v>
      </c>
      <c r="P151" s="40"/>
    </row>
    <row r="152" spans="1:16" ht="15">
      <c r="A152" s="45" t="s">
        <v>241</v>
      </c>
      <c r="B152" s="46" t="s">
        <v>123</v>
      </c>
      <c r="C152" s="7">
        <v>783618</v>
      </c>
      <c r="D152" s="6"/>
      <c r="E152" s="6"/>
      <c r="F152" s="7"/>
      <c r="G152" s="6"/>
      <c r="H152" s="6"/>
      <c r="I152" s="6"/>
      <c r="J152" s="6"/>
      <c r="K152" s="6"/>
      <c r="L152" s="6"/>
      <c r="M152" s="6"/>
      <c r="N152" s="7"/>
      <c r="O152" s="133">
        <f t="shared" si="21"/>
        <v>783618</v>
      </c>
      <c r="P152" s="40"/>
    </row>
    <row r="153" spans="1:16" ht="15">
      <c r="A153" s="45" t="s">
        <v>242</v>
      </c>
      <c r="B153" s="46" t="s">
        <v>187</v>
      </c>
      <c r="C153" s="7">
        <v>408541</v>
      </c>
      <c r="D153" s="7"/>
      <c r="E153" s="7"/>
      <c r="F153" s="7"/>
      <c r="G153" s="6"/>
      <c r="H153" s="6"/>
      <c r="I153" s="6"/>
      <c r="J153" s="7"/>
      <c r="K153" s="7"/>
      <c r="L153" s="7"/>
      <c r="M153" s="7"/>
      <c r="N153" s="7"/>
      <c r="O153" s="133">
        <f t="shared" si="21"/>
        <v>408541</v>
      </c>
      <c r="P153" s="40"/>
    </row>
    <row r="154" spans="1:16" ht="15">
      <c r="A154" s="45" t="s">
        <v>243</v>
      </c>
      <c r="B154" s="46" t="s">
        <v>152</v>
      </c>
      <c r="C154" s="7"/>
      <c r="D154" s="7"/>
      <c r="E154" s="7"/>
      <c r="F154" s="7"/>
      <c r="G154" s="6"/>
      <c r="H154" s="6"/>
      <c r="I154" s="6"/>
      <c r="J154" s="6">
        <v>376177</v>
      </c>
      <c r="K154" s="7"/>
      <c r="L154" s="7"/>
      <c r="M154" s="7"/>
      <c r="N154" s="7"/>
      <c r="O154" s="133">
        <f t="shared" si="21"/>
        <v>376177</v>
      </c>
      <c r="P154" s="40"/>
    </row>
    <row r="155" spans="1:16" ht="30">
      <c r="A155" s="45" t="s">
        <v>244</v>
      </c>
      <c r="B155" s="46" t="s">
        <v>464</v>
      </c>
      <c r="C155" s="7">
        <v>221000</v>
      </c>
      <c r="D155" s="7"/>
      <c r="E155" s="7"/>
      <c r="F155" s="7"/>
      <c r="G155" s="6"/>
      <c r="H155" s="6"/>
      <c r="I155" s="6"/>
      <c r="J155" s="7"/>
      <c r="K155" s="7"/>
      <c r="L155" s="7"/>
      <c r="M155" s="7"/>
      <c r="N155" s="175"/>
      <c r="O155" s="133">
        <f>SUM(C155:N155)</f>
        <v>221000</v>
      </c>
      <c r="P155" s="40"/>
    </row>
    <row r="156" spans="1:16" ht="15">
      <c r="A156" s="132" t="s">
        <v>90</v>
      </c>
      <c r="B156" s="79" t="s">
        <v>245</v>
      </c>
      <c r="C156" s="7">
        <v>1058476</v>
      </c>
      <c r="D156" s="7"/>
      <c r="E156" s="7"/>
      <c r="F156" s="7"/>
      <c r="G156" s="181"/>
      <c r="H156" s="7"/>
      <c r="I156" s="7"/>
      <c r="J156" s="7"/>
      <c r="K156" s="7"/>
      <c r="L156" s="7"/>
      <c r="M156" s="7"/>
      <c r="N156" s="7"/>
      <c r="O156" s="133">
        <f>SUM(C156:N156)</f>
        <v>1058476</v>
      </c>
      <c r="P156" s="40"/>
    </row>
    <row r="157" spans="1:16" ht="29.25">
      <c r="A157" s="132" t="s">
        <v>155</v>
      </c>
      <c r="B157" s="79" t="s">
        <v>246</v>
      </c>
      <c r="C157" s="83">
        <f aca="true" t="shared" si="33" ref="C157:N157">SUM(C158:C167)</f>
        <v>4901688</v>
      </c>
      <c r="D157" s="83">
        <f t="shared" si="33"/>
        <v>0</v>
      </c>
      <c r="E157" s="83">
        <f t="shared" si="33"/>
        <v>0</v>
      </c>
      <c r="F157" s="83">
        <f t="shared" si="33"/>
        <v>0</v>
      </c>
      <c r="G157" s="83">
        <f t="shared" si="33"/>
        <v>947497</v>
      </c>
      <c r="H157" s="83">
        <f t="shared" si="33"/>
        <v>0</v>
      </c>
      <c r="I157" s="83">
        <f t="shared" si="33"/>
        <v>405894</v>
      </c>
      <c r="J157" s="83">
        <f t="shared" si="33"/>
        <v>496675</v>
      </c>
      <c r="K157" s="83">
        <f t="shared" si="33"/>
        <v>0</v>
      </c>
      <c r="L157" s="83">
        <f t="shared" si="33"/>
        <v>45197</v>
      </c>
      <c r="M157" s="83">
        <f t="shared" si="33"/>
        <v>22960</v>
      </c>
      <c r="N157" s="83">
        <f t="shared" si="33"/>
        <v>592248</v>
      </c>
      <c r="O157" s="133">
        <f aca="true" t="shared" si="34" ref="O157:O213">SUM(C157:N157)</f>
        <v>7412159</v>
      </c>
      <c r="P157" s="40"/>
    </row>
    <row r="158" spans="1:16" ht="15">
      <c r="A158" s="45" t="s">
        <v>247</v>
      </c>
      <c r="B158" s="46" t="s">
        <v>91</v>
      </c>
      <c r="C158" s="7">
        <v>2073545</v>
      </c>
      <c r="D158" s="6"/>
      <c r="E158" s="6"/>
      <c r="F158" s="7"/>
      <c r="G158" s="6"/>
      <c r="H158" s="6"/>
      <c r="I158" s="6"/>
      <c r="J158" s="6"/>
      <c r="K158" s="6"/>
      <c r="L158" s="6"/>
      <c r="M158" s="6"/>
      <c r="N158" s="7"/>
      <c r="O158" s="133">
        <f t="shared" si="34"/>
        <v>2073545</v>
      </c>
      <c r="P158" s="40"/>
    </row>
    <row r="159" spans="1:16" ht="15">
      <c r="A159" s="45" t="s">
        <v>248</v>
      </c>
      <c r="B159" s="46" t="s">
        <v>92</v>
      </c>
      <c r="C159" s="7">
        <v>1081645</v>
      </c>
      <c r="D159" s="6"/>
      <c r="E159" s="6"/>
      <c r="F159" s="7"/>
      <c r="G159" s="6"/>
      <c r="H159" s="6"/>
      <c r="I159" s="6"/>
      <c r="J159" s="6"/>
      <c r="K159" s="6"/>
      <c r="L159" s="6"/>
      <c r="M159" s="6"/>
      <c r="N159" s="7"/>
      <c r="O159" s="133">
        <f t="shared" si="34"/>
        <v>1081645</v>
      </c>
      <c r="P159" s="40"/>
    </row>
    <row r="160" spans="1:16" ht="15">
      <c r="A160" s="45" t="s">
        <v>249</v>
      </c>
      <c r="B160" s="46" t="s">
        <v>93</v>
      </c>
      <c r="C160" s="7">
        <v>1046242</v>
      </c>
      <c r="D160" s="6"/>
      <c r="E160" s="6"/>
      <c r="F160" s="7"/>
      <c r="G160" s="6"/>
      <c r="H160" s="6"/>
      <c r="I160" s="6"/>
      <c r="J160" s="6"/>
      <c r="K160" s="6"/>
      <c r="L160" s="6"/>
      <c r="M160" s="6"/>
      <c r="N160" s="7"/>
      <c r="O160" s="133">
        <f t="shared" si="34"/>
        <v>1046242</v>
      </c>
      <c r="P160" s="40"/>
    </row>
    <row r="161" spans="1:16" ht="15">
      <c r="A161" s="45" t="s">
        <v>250</v>
      </c>
      <c r="B161" s="46" t="s">
        <v>94</v>
      </c>
      <c r="C161" s="7">
        <v>420256</v>
      </c>
      <c r="D161" s="6"/>
      <c r="E161" s="6"/>
      <c r="F161" s="7"/>
      <c r="G161" s="6"/>
      <c r="H161" s="6"/>
      <c r="I161" s="6"/>
      <c r="J161" s="6"/>
      <c r="K161" s="6"/>
      <c r="L161" s="6"/>
      <c r="M161" s="6"/>
      <c r="N161" s="7"/>
      <c r="O161" s="133">
        <f t="shared" si="34"/>
        <v>420256</v>
      </c>
      <c r="P161" s="40"/>
    </row>
    <row r="162" spans="1:16" ht="15">
      <c r="A162" s="45" t="s">
        <v>251</v>
      </c>
      <c r="B162" s="46" t="s">
        <v>153</v>
      </c>
      <c r="C162" s="7"/>
      <c r="D162" s="6"/>
      <c r="E162" s="6"/>
      <c r="F162" s="7"/>
      <c r="G162" s="6"/>
      <c r="H162" s="6"/>
      <c r="I162" s="6">
        <f>404894+1000</f>
        <v>405894</v>
      </c>
      <c r="J162" s="7"/>
      <c r="K162" s="7"/>
      <c r="L162" s="7"/>
      <c r="M162" s="7"/>
      <c r="N162" s="7"/>
      <c r="O162" s="133">
        <f t="shared" si="34"/>
        <v>405894</v>
      </c>
      <c r="P162" s="40"/>
    </row>
    <row r="163" spans="1:16" ht="15">
      <c r="A163" s="45" t="s">
        <v>252</v>
      </c>
      <c r="B163" s="46" t="s">
        <v>154</v>
      </c>
      <c r="C163" s="7"/>
      <c r="D163" s="6"/>
      <c r="E163" s="6"/>
      <c r="F163" s="7"/>
      <c r="G163" s="6"/>
      <c r="H163" s="6"/>
      <c r="I163" s="6"/>
      <c r="J163" s="6">
        <v>496675</v>
      </c>
      <c r="K163" s="7"/>
      <c r="L163" s="7"/>
      <c r="M163" s="7"/>
      <c r="N163" s="7"/>
      <c r="O163" s="133">
        <f t="shared" si="34"/>
        <v>496675</v>
      </c>
      <c r="P163" s="40"/>
    </row>
    <row r="164" spans="1:16" ht="15">
      <c r="A164" s="45" t="s">
        <v>253</v>
      </c>
      <c r="B164" s="46" t="s">
        <v>287</v>
      </c>
      <c r="C164" s="7"/>
      <c r="D164" s="6"/>
      <c r="E164" s="6"/>
      <c r="F164" s="7"/>
      <c r="G164" s="6"/>
      <c r="H164" s="6"/>
      <c r="I164" s="6"/>
      <c r="J164" s="7"/>
      <c r="K164" s="7"/>
      <c r="L164" s="7">
        <v>45197</v>
      </c>
      <c r="M164" s="84">
        <v>22960</v>
      </c>
      <c r="N164" s="50">
        <f>590748+1500</f>
        <v>592248</v>
      </c>
      <c r="O164" s="133">
        <f t="shared" si="34"/>
        <v>660405</v>
      </c>
      <c r="P164" s="40"/>
    </row>
    <row r="165" spans="1:16" ht="15">
      <c r="A165" s="45" t="s">
        <v>254</v>
      </c>
      <c r="B165" s="46" t="s">
        <v>156</v>
      </c>
      <c r="C165" s="7"/>
      <c r="D165" s="6"/>
      <c r="E165" s="6"/>
      <c r="F165" s="7"/>
      <c r="G165" s="49">
        <f>947497</f>
        <v>947497</v>
      </c>
      <c r="H165" s="6"/>
      <c r="I165" s="6"/>
      <c r="J165" s="7"/>
      <c r="K165" s="7"/>
      <c r="L165" s="7"/>
      <c r="M165" s="7"/>
      <c r="N165" s="7"/>
      <c r="O165" s="133">
        <f t="shared" si="34"/>
        <v>947497</v>
      </c>
      <c r="P165" s="40"/>
    </row>
    <row r="166" spans="1:16" ht="15">
      <c r="A166" s="45" t="s">
        <v>255</v>
      </c>
      <c r="B166" s="46" t="s">
        <v>465</v>
      </c>
      <c r="C166" s="7"/>
      <c r="D166" s="7"/>
      <c r="E166" s="7"/>
      <c r="F166" s="7"/>
      <c r="G166" s="181"/>
      <c r="H166" s="6"/>
      <c r="I166" s="6"/>
      <c r="J166" s="7"/>
      <c r="K166" s="7"/>
      <c r="L166" s="7"/>
      <c r="M166" s="7"/>
      <c r="N166" s="7"/>
      <c r="O166" s="133">
        <f t="shared" si="34"/>
        <v>0</v>
      </c>
      <c r="P166" s="40"/>
    </row>
    <row r="167" spans="1:16" ht="31.5" customHeight="1">
      <c r="A167" s="158" t="s">
        <v>466</v>
      </c>
      <c r="B167" s="46" t="s">
        <v>467</v>
      </c>
      <c r="C167" s="7">
        <f>221000+59000</f>
        <v>280000</v>
      </c>
      <c r="D167" s="7"/>
      <c r="E167" s="7"/>
      <c r="F167" s="7"/>
      <c r="G167" s="189"/>
      <c r="H167" s="7"/>
      <c r="I167" s="7"/>
      <c r="J167" s="7"/>
      <c r="K167" s="7"/>
      <c r="L167" s="7"/>
      <c r="M167" s="7"/>
      <c r="N167" s="7"/>
      <c r="O167" s="133">
        <f t="shared" si="34"/>
        <v>280000</v>
      </c>
      <c r="P167" s="40"/>
    </row>
    <row r="168" spans="1:16" ht="15" customHeight="1">
      <c r="A168" s="132" t="s">
        <v>95</v>
      </c>
      <c r="B168" s="79" t="s">
        <v>96</v>
      </c>
      <c r="C168" s="83">
        <f>SUM(C169:C174)</f>
        <v>2292596</v>
      </c>
      <c r="D168" s="83">
        <f aca="true" t="shared" si="35" ref="D168:N168">SUM(D169:D174)</f>
        <v>0</v>
      </c>
      <c r="E168" s="83">
        <f t="shared" si="35"/>
        <v>0</v>
      </c>
      <c r="F168" s="83">
        <f t="shared" si="35"/>
        <v>0</v>
      </c>
      <c r="G168" s="83">
        <f t="shared" si="35"/>
        <v>0</v>
      </c>
      <c r="H168" s="83">
        <f t="shared" si="35"/>
        <v>0</v>
      </c>
      <c r="I168" s="83">
        <f t="shared" si="35"/>
        <v>0</v>
      </c>
      <c r="J168" s="83">
        <f t="shared" si="35"/>
        <v>219029</v>
      </c>
      <c r="K168" s="83">
        <f t="shared" si="35"/>
        <v>0</v>
      </c>
      <c r="L168" s="83">
        <f t="shared" si="35"/>
        <v>0</v>
      </c>
      <c r="M168" s="83">
        <f t="shared" si="35"/>
        <v>0</v>
      </c>
      <c r="N168" s="83">
        <f t="shared" si="35"/>
        <v>0</v>
      </c>
      <c r="O168" s="133">
        <f t="shared" si="34"/>
        <v>2511625</v>
      </c>
      <c r="P168" s="40"/>
    </row>
    <row r="169" spans="1:16" ht="15">
      <c r="A169" s="45" t="s">
        <v>256</v>
      </c>
      <c r="B169" s="46" t="s">
        <v>97</v>
      </c>
      <c r="C169" s="7">
        <v>701850</v>
      </c>
      <c r="D169" s="6"/>
      <c r="E169" s="6"/>
      <c r="F169" s="7"/>
      <c r="G169" s="6"/>
      <c r="H169" s="6"/>
      <c r="I169" s="6"/>
      <c r="J169" s="6"/>
      <c r="K169" s="6"/>
      <c r="L169" s="6"/>
      <c r="M169" s="6"/>
      <c r="N169" s="7"/>
      <c r="O169" s="133">
        <f t="shared" si="34"/>
        <v>701850</v>
      </c>
      <c r="P169" s="40"/>
    </row>
    <row r="170" spans="1:16" ht="15">
      <c r="A170" s="45" t="s">
        <v>257</v>
      </c>
      <c r="B170" s="46" t="s">
        <v>127</v>
      </c>
      <c r="C170" s="7">
        <v>311374</v>
      </c>
      <c r="D170" s="6"/>
      <c r="E170" s="6"/>
      <c r="F170" s="7"/>
      <c r="G170" s="6"/>
      <c r="H170" s="6"/>
      <c r="I170" s="6"/>
      <c r="J170" s="6"/>
      <c r="K170" s="6"/>
      <c r="L170" s="6"/>
      <c r="M170" s="6"/>
      <c r="N170" s="7"/>
      <c r="O170" s="133">
        <f t="shared" si="34"/>
        <v>311374</v>
      </c>
      <c r="P170" s="40"/>
    </row>
    <row r="171" spans="1:16" ht="15">
      <c r="A171" s="45" t="s">
        <v>258</v>
      </c>
      <c r="B171" s="46" t="s">
        <v>98</v>
      </c>
      <c r="C171" s="7"/>
      <c r="D171" s="6"/>
      <c r="E171" s="6"/>
      <c r="F171" s="7"/>
      <c r="G171" s="6"/>
      <c r="H171" s="6"/>
      <c r="I171" s="6"/>
      <c r="J171" s="6"/>
      <c r="K171" s="6"/>
      <c r="L171" s="6"/>
      <c r="M171" s="6"/>
      <c r="N171" s="7"/>
      <c r="O171" s="133">
        <f t="shared" si="34"/>
        <v>0</v>
      </c>
      <c r="P171" s="40"/>
    </row>
    <row r="172" spans="1:16" ht="15">
      <c r="A172" s="45" t="s">
        <v>259</v>
      </c>
      <c r="B172" s="46" t="s">
        <v>99</v>
      </c>
      <c r="C172" s="7"/>
      <c r="D172" s="6"/>
      <c r="E172" s="6"/>
      <c r="F172" s="7"/>
      <c r="G172" s="6"/>
      <c r="H172" s="6"/>
      <c r="I172" s="6"/>
      <c r="J172" s="6"/>
      <c r="K172" s="6"/>
      <c r="L172" s="6"/>
      <c r="M172" s="6"/>
      <c r="N172" s="7"/>
      <c r="O172" s="133">
        <f t="shared" si="34"/>
        <v>0</v>
      </c>
      <c r="P172" s="40"/>
    </row>
    <row r="173" spans="1:16" ht="15">
      <c r="A173" s="45" t="s">
        <v>260</v>
      </c>
      <c r="B173" s="46" t="s">
        <v>157</v>
      </c>
      <c r="C173" s="6"/>
      <c r="D173" s="6"/>
      <c r="E173" s="6"/>
      <c r="F173" s="7"/>
      <c r="G173" s="6"/>
      <c r="H173" s="6"/>
      <c r="I173" s="6"/>
      <c r="J173" s="6">
        <v>219029</v>
      </c>
      <c r="K173" s="6"/>
      <c r="L173" s="6"/>
      <c r="M173" s="6"/>
      <c r="N173" s="7"/>
      <c r="O173" s="133">
        <f t="shared" si="34"/>
        <v>219029</v>
      </c>
      <c r="P173" s="40"/>
    </row>
    <row r="174" spans="1:16" ht="15">
      <c r="A174" s="45" t="s">
        <v>468</v>
      </c>
      <c r="B174" s="46" t="s">
        <v>469</v>
      </c>
      <c r="C174" s="6">
        <f>71959+1207413</f>
        <v>1279372</v>
      </c>
      <c r="D174" s="6"/>
      <c r="E174" s="6"/>
      <c r="F174" s="7"/>
      <c r="G174" s="6"/>
      <c r="H174" s="6"/>
      <c r="I174" s="6"/>
      <c r="J174" s="6"/>
      <c r="K174" s="6"/>
      <c r="L174" s="6"/>
      <c r="M174" s="6"/>
      <c r="N174" s="7"/>
      <c r="O174" s="133">
        <f t="shared" si="34"/>
        <v>1279372</v>
      </c>
      <c r="P174" s="40"/>
    </row>
    <row r="175" spans="1:16" ht="15">
      <c r="A175" s="190" t="s">
        <v>158</v>
      </c>
      <c r="B175" s="79" t="s">
        <v>159</v>
      </c>
      <c r="C175" s="80">
        <f>SUM(C176:C178)</f>
        <v>437232</v>
      </c>
      <c r="D175" s="6">
        <f aca="true" t="shared" si="36" ref="D175:M175">SUM(D176:D178)</f>
        <v>0</v>
      </c>
      <c r="E175" s="6">
        <f t="shared" si="36"/>
        <v>0</v>
      </c>
      <c r="F175" s="6">
        <f t="shared" si="36"/>
        <v>0</v>
      </c>
      <c r="G175" s="6">
        <f t="shared" si="36"/>
        <v>120426</v>
      </c>
      <c r="H175" s="6">
        <f t="shared" si="36"/>
        <v>0</v>
      </c>
      <c r="I175" s="6">
        <f t="shared" si="36"/>
        <v>0</v>
      </c>
      <c r="J175" s="6">
        <f t="shared" si="36"/>
        <v>93674</v>
      </c>
      <c r="K175" s="6">
        <f t="shared" si="36"/>
        <v>0</v>
      </c>
      <c r="L175" s="6">
        <f t="shared" si="36"/>
        <v>0</v>
      </c>
      <c r="M175" s="6">
        <f t="shared" si="36"/>
        <v>0</v>
      </c>
      <c r="N175" s="6">
        <f>SUM(N176:N178)</f>
        <v>0</v>
      </c>
      <c r="O175" s="133">
        <f t="shared" si="34"/>
        <v>651332</v>
      </c>
      <c r="P175" s="40"/>
    </row>
    <row r="176" spans="1:16" ht="15">
      <c r="A176" s="45" t="s">
        <v>351</v>
      </c>
      <c r="B176" s="46" t="s">
        <v>352</v>
      </c>
      <c r="C176" s="7">
        <v>50000</v>
      </c>
      <c r="D176" s="7"/>
      <c r="E176" s="7"/>
      <c r="F176" s="7"/>
      <c r="G176" s="6">
        <f>111426+9000</f>
        <v>120426</v>
      </c>
      <c r="H176" s="6"/>
      <c r="I176" s="6"/>
      <c r="J176" s="7">
        <v>88755</v>
      </c>
      <c r="K176" s="7"/>
      <c r="L176" s="7"/>
      <c r="M176" s="7"/>
      <c r="N176" s="7"/>
      <c r="O176" s="133">
        <f t="shared" si="34"/>
        <v>259181</v>
      </c>
      <c r="P176" s="40"/>
    </row>
    <row r="177" spans="1:16" ht="15">
      <c r="A177" s="158" t="s">
        <v>470</v>
      </c>
      <c r="B177" s="46" t="s">
        <v>471</v>
      </c>
      <c r="C177" s="7">
        <v>302232</v>
      </c>
      <c r="D177" s="7"/>
      <c r="E177" s="7"/>
      <c r="F177" s="7"/>
      <c r="G177" s="6"/>
      <c r="H177" s="6"/>
      <c r="I177" s="6"/>
      <c r="J177" s="7"/>
      <c r="K177" s="7"/>
      <c r="L177" s="7"/>
      <c r="M177" s="7"/>
      <c r="N177" s="7"/>
      <c r="O177" s="133">
        <f t="shared" si="34"/>
        <v>302232</v>
      </c>
      <c r="P177" s="40"/>
    </row>
    <row r="178" spans="1:16" ht="15">
      <c r="A178" s="45" t="s">
        <v>353</v>
      </c>
      <c r="B178" s="46" t="s">
        <v>354</v>
      </c>
      <c r="C178" s="7">
        <v>85000</v>
      </c>
      <c r="D178" s="7"/>
      <c r="E178" s="7"/>
      <c r="F178" s="7"/>
      <c r="G178" s="6"/>
      <c r="H178" s="6"/>
      <c r="I178" s="6"/>
      <c r="J178" s="7">
        <v>4919</v>
      </c>
      <c r="K178" s="7"/>
      <c r="L178" s="7"/>
      <c r="M178" s="7"/>
      <c r="N178" s="7"/>
      <c r="O178" s="133">
        <f t="shared" si="34"/>
        <v>89919</v>
      </c>
      <c r="P178" s="40"/>
    </row>
    <row r="179" spans="1:16" ht="21.75" customHeight="1">
      <c r="A179" s="132" t="s">
        <v>188</v>
      </c>
      <c r="B179" s="79" t="s">
        <v>472</v>
      </c>
      <c r="C179" s="83">
        <v>283758</v>
      </c>
      <c r="D179" s="83"/>
      <c r="E179" s="83"/>
      <c r="F179" s="83"/>
      <c r="G179" s="80"/>
      <c r="H179" s="80"/>
      <c r="I179" s="80"/>
      <c r="J179" s="83"/>
      <c r="K179" s="83"/>
      <c r="L179" s="83"/>
      <c r="M179" s="83"/>
      <c r="N179" s="83"/>
      <c r="O179" s="133">
        <f t="shared" si="34"/>
        <v>283758</v>
      </c>
      <c r="P179" s="40"/>
    </row>
    <row r="180" spans="1:16" ht="30.75" customHeight="1" thickBot="1">
      <c r="A180" s="191" t="s">
        <v>100</v>
      </c>
      <c r="B180" s="192" t="s">
        <v>261</v>
      </c>
      <c r="C180" s="193">
        <f aca="true" t="shared" si="37" ref="C180:N180">SUM(C181:C209)</f>
        <v>12614381</v>
      </c>
      <c r="D180" s="193">
        <f t="shared" si="37"/>
        <v>0</v>
      </c>
      <c r="E180" s="193">
        <f t="shared" si="37"/>
        <v>0</v>
      </c>
      <c r="F180" s="193">
        <f t="shared" si="37"/>
        <v>0</v>
      </c>
      <c r="G180" s="193">
        <f t="shared" si="37"/>
        <v>28147</v>
      </c>
      <c r="H180" s="193">
        <f t="shared" si="37"/>
        <v>0</v>
      </c>
      <c r="I180" s="193">
        <f t="shared" si="37"/>
        <v>21331</v>
      </c>
      <c r="J180" s="193">
        <f t="shared" si="37"/>
        <v>15003</v>
      </c>
      <c r="K180" s="193">
        <f t="shared" si="37"/>
        <v>43934</v>
      </c>
      <c r="L180" s="193">
        <f t="shared" si="37"/>
        <v>19935</v>
      </c>
      <c r="M180" s="193">
        <f t="shared" si="37"/>
        <v>15093</v>
      </c>
      <c r="N180" s="193">
        <f t="shared" si="37"/>
        <v>18345</v>
      </c>
      <c r="O180" s="194">
        <f>SUM(C180:N180)</f>
        <v>12776169</v>
      </c>
      <c r="P180" s="40"/>
    </row>
    <row r="181" spans="1:16" ht="30.75" customHeight="1">
      <c r="A181" s="149" t="s">
        <v>355</v>
      </c>
      <c r="B181" s="151" t="s">
        <v>356</v>
      </c>
      <c r="C181" s="10">
        <v>41843</v>
      </c>
      <c r="D181" s="148"/>
      <c r="E181" s="148"/>
      <c r="F181" s="148"/>
      <c r="G181" s="187"/>
      <c r="H181" s="187"/>
      <c r="I181" s="187"/>
      <c r="J181" s="148"/>
      <c r="K181" s="148"/>
      <c r="L181" s="148"/>
      <c r="M181" s="148"/>
      <c r="N181" s="195"/>
      <c r="O181" s="133">
        <f t="shared" si="34"/>
        <v>41843</v>
      </c>
      <c r="P181" s="40"/>
    </row>
    <row r="182" spans="1:16" ht="30.75" customHeight="1">
      <c r="A182" s="196" t="s">
        <v>473</v>
      </c>
      <c r="B182" s="157" t="s">
        <v>474</v>
      </c>
      <c r="C182" s="6">
        <v>119646</v>
      </c>
      <c r="D182" s="80"/>
      <c r="E182" s="80"/>
      <c r="F182" s="80"/>
      <c r="G182" s="80"/>
      <c r="H182" s="80"/>
      <c r="I182" s="80"/>
      <c r="J182" s="80">
        <v>577</v>
      </c>
      <c r="K182" s="80"/>
      <c r="L182" s="80"/>
      <c r="M182" s="80"/>
      <c r="N182" s="142"/>
      <c r="O182" s="133">
        <f t="shared" si="34"/>
        <v>120223</v>
      </c>
      <c r="P182" s="40"/>
    </row>
    <row r="183" spans="1:16" ht="15.75">
      <c r="A183" s="196" t="s">
        <v>475</v>
      </c>
      <c r="B183" s="197" t="s">
        <v>476</v>
      </c>
      <c r="C183" s="6">
        <v>55692</v>
      </c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142"/>
      <c r="O183" s="133">
        <f t="shared" si="34"/>
        <v>55692</v>
      </c>
      <c r="P183" s="40"/>
    </row>
    <row r="184" spans="1:16" ht="30.75" customHeight="1">
      <c r="A184" s="196" t="s">
        <v>477</v>
      </c>
      <c r="B184" s="198" t="s">
        <v>478</v>
      </c>
      <c r="C184" s="6">
        <v>11490</v>
      </c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142"/>
      <c r="O184" s="133">
        <f t="shared" si="34"/>
        <v>11490</v>
      </c>
      <c r="P184" s="40"/>
    </row>
    <row r="185" spans="1:16" ht="30.75" customHeight="1">
      <c r="A185" s="196" t="s">
        <v>479</v>
      </c>
      <c r="B185" s="199" t="s">
        <v>480</v>
      </c>
      <c r="C185" s="6">
        <v>7892</v>
      </c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142"/>
      <c r="O185" s="133">
        <f t="shared" si="34"/>
        <v>7892</v>
      </c>
      <c r="P185" s="40"/>
    </row>
    <row r="186" spans="1:16" ht="30.75" customHeight="1">
      <c r="A186" s="196" t="s">
        <v>481</v>
      </c>
      <c r="B186" s="198" t="s">
        <v>482</v>
      </c>
      <c r="C186" s="10"/>
      <c r="D186" s="148"/>
      <c r="E186" s="148"/>
      <c r="F186" s="148"/>
      <c r="G186" s="187"/>
      <c r="H186" s="187"/>
      <c r="I186" s="187"/>
      <c r="J186" s="148"/>
      <c r="K186" s="148"/>
      <c r="L186" s="148"/>
      <c r="M186" s="148"/>
      <c r="N186" s="148"/>
      <c r="O186" s="133">
        <f t="shared" si="34"/>
        <v>0</v>
      </c>
      <c r="P186" s="40"/>
    </row>
    <row r="187" spans="1:16" ht="15">
      <c r="A187" s="149" t="s">
        <v>262</v>
      </c>
      <c r="B187" s="173" t="s">
        <v>314</v>
      </c>
      <c r="C187" s="7"/>
      <c r="D187" s="6"/>
      <c r="E187" s="6"/>
      <c r="F187" s="7"/>
      <c r="G187" s="6"/>
      <c r="H187" s="6"/>
      <c r="I187" s="6">
        <v>21331</v>
      </c>
      <c r="J187" s="6"/>
      <c r="K187" s="6">
        <v>43934</v>
      </c>
      <c r="L187" s="6">
        <v>19935</v>
      </c>
      <c r="M187" s="6"/>
      <c r="N187" s="7"/>
      <c r="O187" s="133">
        <f t="shared" si="34"/>
        <v>85200</v>
      </c>
      <c r="P187" s="40"/>
    </row>
    <row r="188" spans="1:16" ht="15">
      <c r="A188" s="149" t="s">
        <v>263</v>
      </c>
      <c r="B188" s="200" t="s">
        <v>189</v>
      </c>
      <c r="C188" s="10"/>
      <c r="D188" s="6"/>
      <c r="E188" s="6"/>
      <c r="F188" s="7"/>
      <c r="G188" s="6">
        <v>28147</v>
      </c>
      <c r="H188" s="6"/>
      <c r="I188" s="6"/>
      <c r="J188" s="6">
        <v>13526</v>
      </c>
      <c r="K188" s="6"/>
      <c r="L188" s="6"/>
      <c r="M188" s="84">
        <v>15093</v>
      </c>
      <c r="N188" s="50">
        <v>18345</v>
      </c>
      <c r="O188" s="133">
        <f t="shared" si="34"/>
        <v>75111</v>
      </c>
      <c r="P188" s="40"/>
    </row>
    <row r="189" spans="1:16" ht="45">
      <c r="A189" s="196" t="s">
        <v>483</v>
      </c>
      <c r="B189" s="144" t="s">
        <v>484</v>
      </c>
      <c r="C189" s="7">
        <v>11709</v>
      </c>
      <c r="D189" s="6"/>
      <c r="E189" s="6"/>
      <c r="F189" s="7"/>
      <c r="G189" s="6"/>
      <c r="H189" s="6"/>
      <c r="I189" s="6"/>
      <c r="J189" s="6"/>
      <c r="K189" s="6"/>
      <c r="L189" s="6"/>
      <c r="M189" s="6"/>
      <c r="N189" s="7"/>
      <c r="O189" s="133">
        <f t="shared" si="34"/>
        <v>11709</v>
      </c>
      <c r="P189" s="40"/>
    </row>
    <row r="190" spans="1:16" ht="45">
      <c r="A190" s="196" t="s">
        <v>485</v>
      </c>
      <c r="B190" s="157" t="s">
        <v>486</v>
      </c>
      <c r="C190" s="7">
        <v>8234</v>
      </c>
      <c r="D190" s="6"/>
      <c r="E190" s="6"/>
      <c r="F190" s="7"/>
      <c r="G190" s="6"/>
      <c r="H190" s="6"/>
      <c r="I190" s="6"/>
      <c r="J190" s="6"/>
      <c r="K190" s="6"/>
      <c r="L190" s="6"/>
      <c r="M190" s="6"/>
      <c r="N190" s="7"/>
      <c r="O190" s="133">
        <f t="shared" si="34"/>
        <v>8234</v>
      </c>
      <c r="P190" s="40"/>
    </row>
    <row r="191" spans="1:16" ht="60">
      <c r="A191" s="196" t="s">
        <v>487</v>
      </c>
      <c r="B191" s="157" t="s">
        <v>488</v>
      </c>
      <c r="C191" s="7">
        <v>5538</v>
      </c>
      <c r="D191" s="6"/>
      <c r="E191" s="6"/>
      <c r="F191" s="7"/>
      <c r="G191" s="6"/>
      <c r="H191" s="6"/>
      <c r="I191" s="6"/>
      <c r="J191" s="6"/>
      <c r="K191" s="6"/>
      <c r="L191" s="6"/>
      <c r="M191" s="6"/>
      <c r="N191" s="7"/>
      <c r="O191" s="133">
        <f t="shared" si="34"/>
        <v>5538</v>
      </c>
      <c r="P191" s="40"/>
    </row>
    <row r="192" spans="1:16" ht="30">
      <c r="A192" s="45" t="s">
        <v>306</v>
      </c>
      <c r="B192" s="157" t="s">
        <v>307</v>
      </c>
      <c r="C192" s="7">
        <v>11628587</v>
      </c>
      <c r="D192" s="6"/>
      <c r="E192" s="6"/>
      <c r="F192" s="7"/>
      <c r="G192" s="6"/>
      <c r="H192" s="6"/>
      <c r="I192" s="6"/>
      <c r="J192" s="6"/>
      <c r="K192" s="6"/>
      <c r="L192" s="6"/>
      <c r="M192" s="6"/>
      <c r="N192" s="7"/>
      <c r="O192" s="133">
        <f t="shared" si="34"/>
        <v>11628587</v>
      </c>
      <c r="P192" s="40"/>
    </row>
    <row r="193" spans="1:16" ht="28.5" customHeight="1">
      <c r="A193" s="149" t="s">
        <v>357</v>
      </c>
      <c r="B193" s="201" t="s">
        <v>358</v>
      </c>
      <c r="C193" s="7"/>
      <c r="D193" s="6"/>
      <c r="E193" s="6"/>
      <c r="F193" s="7"/>
      <c r="G193" s="6"/>
      <c r="H193" s="6"/>
      <c r="I193" s="6"/>
      <c r="J193" s="6"/>
      <c r="K193" s="6"/>
      <c r="L193" s="6"/>
      <c r="M193" s="6"/>
      <c r="N193" s="7"/>
      <c r="O193" s="133">
        <f t="shared" si="34"/>
        <v>0</v>
      </c>
      <c r="P193" s="40"/>
    </row>
    <row r="194" spans="1:16" ht="30">
      <c r="A194" s="202" t="s">
        <v>359</v>
      </c>
      <c r="B194" s="203" t="s">
        <v>360</v>
      </c>
      <c r="C194" s="7">
        <v>77720</v>
      </c>
      <c r="D194" s="7"/>
      <c r="E194" s="7"/>
      <c r="F194" s="7"/>
      <c r="G194" s="6"/>
      <c r="H194" s="5"/>
      <c r="I194" s="5"/>
      <c r="J194" s="5"/>
      <c r="K194" s="5"/>
      <c r="L194" s="5"/>
      <c r="M194" s="5"/>
      <c r="N194" s="57"/>
      <c r="O194" s="133">
        <f t="shared" si="34"/>
        <v>77720</v>
      </c>
      <c r="P194" s="40"/>
    </row>
    <row r="195" spans="1:16" ht="30">
      <c r="A195" s="204" t="s">
        <v>489</v>
      </c>
      <c r="B195" s="203" t="s">
        <v>490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133">
        <f t="shared" si="34"/>
        <v>0</v>
      </c>
      <c r="P195" s="40"/>
    </row>
    <row r="196" spans="1:16" ht="60">
      <c r="A196" s="204" t="s">
        <v>491</v>
      </c>
      <c r="B196" s="157" t="s">
        <v>492</v>
      </c>
      <c r="C196" s="6">
        <v>3656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133">
        <f t="shared" si="34"/>
        <v>3656</v>
      </c>
      <c r="P196" s="40"/>
    </row>
    <row r="197" spans="1:16" ht="47.25" customHeight="1">
      <c r="A197" s="204" t="s">
        <v>493</v>
      </c>
      <c r="B197" s="157" t="s">
        <v>494</v>
      </c>
      <c r="C197" s="7">
        <v>4538</v>
      </c>
      <c r="D197" s="7"/>
      <c r="E197" s="7"/>
      <c r="F197" s="7"/>
      <c r="G197" s="6"/>
      <c r="H197" s="7"/>
      <c r="I197" s="7"/>
      <c r="J197" s="7"/>
      <c r="K197" s="7"/>
      <c r="L197" s="7"/>
      <c r="M197" s="7"/>
      <c r="N197" s="175"/>
      <c r="O197" s="133">
        <f t="shared" si="34"/>
        <v>4538</v>
      </c>
      <c r="P197" s="40"/>
    </row>
    <row r="198" spans="1:16" ht="47.25" customHeight="1">
      <c r="A198" s="204" t="s">
        <v>495</v>
      </c>
      <c r="B198" s="205" t="s">
        <v>496</v>
      </c>
      <c r="C198" s="6">
        <v>4281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0"/>
      <c r="O198" s="133">
        <f t="shared" si="34"/>
        <v>4281</v>
      </c>
      <c r="P198" s="40"/>
    </row>
    <row r="199" spans="1:16" ht="47.25" customHeight="1">
      <c r="A199" s="204" t="s">
        <v>497</v>
      </c>
      <c r="B199" s="206" t="s">
        <v>498</v>
      </c>
      <c r="C199" s="6">
        <v>11155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75"/>
      <c r="O199" s="133">
        <f t="shared" si="34"/>
        <v>11155</v>
      </c>
      <c r="P199" s="40"/>
    </row>
    <row r="200" spans="1:16" ht="47.25" customHeight="1">
      <c r="A200" s="204" t="s">
        <v>499</v>
      </c>
      <c r="B200" s="206" t="s">
        <v>500</v>
      </c>
      <c r="C200" s="6">
        <v>21664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0"/>
      <c r="O200" s="133">
        <f t="shared" si="34"/>
        <v>21664</v>
      </c>
      <c r="P200" s="40"/>
    </row>
    <row r="201" spans="1:16" ht="47.25" customHeight="1">
      <c r="A201" s="204" t="s">
        <v>501</v>
      </c>
      <c r="B201" s="206" t="s">
        <v>502</v>
      </c>
      <c r="C201" s="6">
        <v>22954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75"/>
      <c r="O201" s="133">
        <f t="shared" si="34"/>
        <v>22954</v>
      </c>
      <c r="P201" s="40"/>
    </row>
    <row r="202" spans="1:16" ht="47.25" customHeight="1">
      <c r="A202" s="204" t="s">
        <v>503</v>
      </c>
      <c r="B202" s="206" t="s">
        <v>504</v>
      </c>
      <c r="C202" s="6">
        <v>21617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0"/>
      <c r="O202" s="133">
        <f t="shared" si="34"/>
        <v>21617</v>
      </c>
      <c r="P202" s="40"/>
    </row>
    <row r="203" spans="1:16" ht="47.25" customHeight="1">
      <c r="A203" s="204" t="s">
        <v>505</v>
      </c>
      <c r="B203" s="206" t="s">
        <v>506</v>
      </c>
      <c r="C203" s="6">
        <v>26560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75"/>
      <c r="O203" s="133">
        <f t="shared" si="34"/>
        <v>26560</v>
      </c>
      <c r="P203" s="40"/>
    </row>
    <row r="204" spans="1:16" ht="30">
      <c r="A204" s="204" t="s">
        <v>507</v>
      </c>
      <c r="B204" s="206" t="s">
        <v>508</v>
      </c>
      <c r="C204" s="6">
        <v>16368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0"/>
      <c r="O204" s="133">
        <f t="shared" si="34"/>
        <v>16368</v>
      </c>
      <c r="P204" s="40"/>
    </row>
    <row r="205" spans="1:16" ht="47.25" customHeight="1">
      <c r="A205" s="207" t="s">
        <v>509</v>
      </c>
      <c r="B205" s="197" t="s">
        <v>510</v>
      </c>
      <c r="C205" s="6"/>
      <c r="D205" s="6"/>
      <c r="E205" s="6"/>
      <c r="F205" s="6"/>
      <c r="G205" s="6"/>
      <c r="H205" s="6"/>
      <c r="I205" s="6"/>
      <c r="J205" s="6">
        <v>900</v>
      </c>
      <c r="K205" s="6"/>
      <c r="L205" s="6"/>
      <c r="M205" s="6"/>
      <c r="N205" s="175"/>
      <c r="O205" s="133">
        <f t="shared" si="34"/>
        <v>900</v>
      </c>
      <c r="P205" s="40"/>
    </row>
    <row r="206" spans="1:16" ht="47.25" customHeight="1">
      <c r="A206" s="207" t="s">
        <v>511</v>
      </c>
      <c r="B206" s="208" t="s">
        <v>512</v>
      </c>
      <c r="C206" s="7">
        <v>1253</v>
      </c>
      <c r="D206" s="7"/>
      <c r="E206" s="7"/>
      <c r="F206" s="7"/>
      <c r="G206" s="6"/>
      <c r="H206" s="7"/>
      <c r="I206" s="7"/>
      <c r="J206" s="7"/>
      <c r="K206" s="7"/>
      <c r="L206" s="7"/>
      <c r="M206" s="7"/>
      <c r="N206" s="175"/>
      <c r="O206" s="133">
        <f t="shared" si="34"/>
        <v>1253</v>
      </c>
      <c r="P206" s="40"/>
    </row>
    <row r="207" spans="1:16" ht="30">
      <c r="A207" s="207" t="s">
        <v>513</v>
      </c>
      <c r="B207" s="14" t="s">
        <v>514</v>
      </c>
      <c r="C207" s="7">
        <v>465736</v>
      </c>
      <c r="D207" s="7"/>
      <c r="E207" s="7"/>
      <c r="F207" s="7"/>
      <c r="G207" s="6"/>
      <c r="H207" s="7"/>
      <c r="I207" s="7"/>
      <c r="J207" s="7"/>
      <c r="K207" s="7"/>
      <c r="L207" s="7"/>
      <c r="M207" s="7"/>
      <c r="N207" s="175"/>
      <c r="O207" s="133">
        <f t="shared" si="34"/>
        <v>465736</v>
      </c>
      <c r="P207" s="40"/>
    </row>
    <row r="208" spans="1:16" ht="45">
      <c r="A208" s="207" t="s">
        <v>556</v>
      </c>
      <c r="B208" s="14" t="s">
        <v>558</v>
      </c>
      <c r="C208" s="7">
        <v>20026</v>
      </c>
      <c r="D208" s="7"/>
      <c r="E208" s="7"/>
      <c r="F208" s="7"/>
      <c r="G208" s="6"/>
      <c r="H208" s="7"/>
      <c r="I208" s="7"/>
      <c r="J208" s="7"/>
      <c r="K208" s="7"/>
      <c r="L208" s="7"/>
      <c r="M208" s="7"/>
      <c r="N208" s="7"/>
      <c r="O208" s="133">
        <f t="shared" si="34"/>
        <v>20026</v>
      </c>
      <c r="P208" s="40"/>
    </row>
    <row r="209" spans="1:16" ht="45.75" thickBot="1">
      <c r="A209" s="207" t="s">
        <v>557</v>
      </c>
      <c r="B209" s="209" t="s">
        <v>559</v>
      </c>
      <c r="C209" s="10">
        <v>26222</v>
      </c>
      <c r="D209" s="10"/>
      <c r="E209" s="10"/>
      <c r="F209" s="10"/>
      <c r="G209" s="68"/>
      <c r="H209" s="10"/>
      <c r="I209" s="10"/>
      <c r="J209" s="10"/>
      <c r="K209" s="10"/>
      <c r="L209" s="10"/>
      <c r="M209" s="10"/>
      <c r="N209" s="10"/>
      <c r="O209" s="133">
        <f t="shared" si="34"/>
        <v>26222</v>
      </c>
      <c r="P209" s="40"/>
    </row>
    <row r="210" spans="1:17" ht="15.75" thickBot="1">
      <c r="A210" s="69" t="s">
        <v>6</v>
      </c>
      <c r="B210" s="36" t="s">
        <v>101</v>
      </c>
      <c r="C210" s="38">
        <f>SUM(C211+C212+C213+C214)</f>
        <v>4552826</v>
      </c>
      <c r="D210" s="38">
        <f aca="true" t="shared" si="38" ref="D210:M210">SUM(D211+D212+D213+D214)</f>
        <v>55453</v>
      </c>
      <c r="E210" s="38">
        <f t="shared" si="38"/>
        <v>0</v>
      </c>
      <c r="F210" s="38">
        <f t="shared" si="38"/>
        <v>0</v>
      </c>
      <c r="G210" s="37">
        <f t="shared" si="38"/>
        <v>1580</v>
      </c>
      <c r="H210" s="38">
        <f t="shared" si="38"/>
        <v>0</v>
      </c>
      <c r="I210" s="38">
        <f t="shared" si="38"/>
        <v>650</v>
      </c>
      <c r="J210" s="38">
        <f t="shared" si="38"/>
        <v>637308</v>
      </c>
      <c r="K210" s="38">
        <f t="shared" si="38"/>
        <v>2936</v>
      </c>
      <c r="L210" s="38">
        <f t="shared" si="38"/>
        <v>2400</v>
      </c>
      <c r="M210" s="38">
        <f t="shared" si="38"/>
        <v>5450</v>
      </c>
      <c r="N210" s="38">
        <f>SUM(N211+N212+N213+N214)</f>
        <v>50</v>
      </c>
      <c r="O210" s="39">
        <f t="shared" si="34"/>
        <v>5258653</v>
      </c>
      <c r="P210" s="40"/>
      <c r="Q210" s="40"/>
    </row>
    <row r="211" spans="1:16" ht="16.5" customHeight="1">
      <c r="A211" s="132" t="s">
        <v>190</v>
      </c>
      <c r="B211" s="210" t="s">
        <v>191</v>
      </c>
      <c r="C211" s="62">
        <v>166180</v>
      </c>
      <c r="D211" s="61"/>
      <c r="E211" s="61"/>
      <c r="F211" s="62"/>
      <c r="G211" s="61">
        <v>850</v>
      </c>
      <c r="H211" s="61"/>
      <c r="I211" s="61"/>
      <c r="J211" s="61"/>
      <c r="K211" s="61"/>
      <c r="L211" s="61"/>
      <c r="M211" s="61"/>
      <c r="N211" s="195"/>
      <c r="O211" s="130">
        <f t="shared" si="34"/>
        <v>167030</v>
      </c>
      <c r="P211" s="40"/>
    </row>
    <row r="212" spans="1:16" ht="15">
      <c r="A212" s="125" t="s">
        <v>160</v>
      </c>
      <c r="B212" s="126" t="s">
        <v>161</v>
      </c>
      <c r="C212" s="127">
        <v>14050</v>
      </c>
      <c r="D212" s="127"/>
      <c r="E212" s="127"/>
      <c r="F212" s="127"/>
      <c r="G212" s="77"/>
      <c r="H212" s="77"/>
      <c r="I212" s="77"/>
      <c r="J212" s="77"/>
      <c r="K212" s="211">
        <v>2400</v>
      </c>
      <c r="L212" s="211">
        <v>2400</v>
      </c>
      <c r="M212" s="127">
        <v>2400</v>
      </c>
      <c r="N212" s="127"/>
      <c r="O212" s="58">
        <f t="shared" si="34"/>
        <v>21250</v>
      </c>
      <c r="P212" s="40"/>
    </row>
    <row r="213" spans="1:16" ht="15">
      <c r="A213" s="125" t="s">
        <v>102</v>
      </c>
      <c r="B213" s="126" t="s">
        <v>103</v>
      </c>
      <c r="C213" s="127"/>
      <c r="D213" s="43"/>
      <c r="E213" s="43"/>
      <c r="F213" s="9"/>
      <c r="G213" s="43"/>
      <c r="H213" s="43"/>
      <c r="I213" s="43"/>
      <c r="J213" s="43"/>
      <c r="K213" s="43"/>
      <c r="L213" s="43"/>
      <c r="M213" s="43"/>
      <c r="N213" s="9"/>
      <c r="O213" s="133">
        <f t="shared" si="34"/>
        <v>0</v>
      </c>
      <c r="P213" s="40"/>
    </row>
    <row r="214" spans="1:16" ht="29.25">
      <c r="A214" s="132" t="s">
        <v>104</v>
      </c>
      <c r="B214" s="79" t="s">
        <v>105</v>
      </c>
      <c r="C214" s="83">
        <f aca="true" t="shared" si="39" ref="C214:N214">SUM(C215:C225)</f>
        <v>4372596</v>
      </c>
      <c r="D214" s="83">
        <f t="shared" si="39"/>
        <v>55453</v>
      </c>
      <c r="E214" s="83">
        <f t="shared" si="39"/>
        <v>0</v>
      </c>
      <c r="F214" s="83">
        <f t="shared" si="39"/>
        <v>0</v>
      </c>
      <c r="G214" s="80">
        <f t="shared" si="39"/>
        <v>730</v>
      </c>
      <c r="H214" s="83">
        <f t="shared" si="39"/>
        <v>0</v>
      </c>
      <c r="I214" s="83">
        <f t="shared" si="39"/>
        <v>650</v>
      </c>
      <c r="J214" s="83">
        <f t="shared" si="39"/>
        <v>637308</v>
      </c>
      <c r="K214" s="83">
        <f t="shared" si="39"/>
        <v>536</v>
      </c>
      <c r="L214" s="83">
        <f t="shared" si="39"/>
        <v>0</v>
      </c>
      <c r="M214" s="83">
        <f t="shared" si="39"/>
        <v>3050</v>
      </c>
      <c r="N214" s="83">
        <f t="shared" si="39"/>
        <v>50</v>
      </c>
      <c r="O214" s="133">
        <f>SUM(C214:N214)</f>
        <v>5070373</v>
      </c>
      <c r="P214" s="40"/>
    </row>
    <row r="215" spans="1:16" ht="15">
      <c r="A215" s="45" t="s">
        <v>264</v>
      </c>
      <c r="B215" s="46" t="s">
        <v>106</v>
      </c>
      <c r="C215" s="7">
        <v>1018029</v>
      </c>
      <c r="D215" s="6">
        <v>55453</v>
      </c>
      <c r="E215" s="6"/>
      <c r="F215" s="7"/>
      <c r="G215" s="84">
        <v>730</v>
      </c>
      <c r="H215" s="6"/>
      <c r="I215" s="6">
        <v>100</v>
      </c>
      <c r="J215" s="6">
        <v>1783</v>
      </c>
      <c r="K215" s="6">
        <v>536</v>
      </c>
      <c r="L215" s="6"/>
      <c r="M215" s="84">
        <v>3050</v>
      </c>
      <c r="N215" s="50">
        <v>50</v>
      </c>
      <c r="O215" s="133">
        <f aca="true" t="shared" si="40" ref="O215:O230">SUM(C215:N215)</f>
        <v>1079731</v>
      </c>
      <c r="P215" s="40"/>
    </row>
    <row r="216" spans="1:16" ht="15">
      <c r="A216" s="45" t="s">
        <v>265</v>
      </c>
      <c r="B216" s="46" t="s">
        <v>114</v>
      </c>
      <c r="C216" s="7">
        <v>1319314</v>
      </c>
      <c r="D216" s="6"/>
      <c r="E216" s="6"/>
      <c r="F216" s="7"/>
      <c r="G216" s="84"/>
      <c r="H216" s="6"/>
      <c r="I216" s="6"/>
      <c r="J216" s="6"/>
      <c r="K216" s="6"/>
      <c r="L216" s="6"/>
      <c r="M216" s="84"/>
      <c r="N216" s="50"/>
      <c r="O216" s="133">
        <f t="shared" si="40"/>
        <v>1319314</v>
      </c>
      <c r="P216" s="40"/>
    </row>
    <row r="217" spans="1:16" ht="15">
      <c r="A217" s="45" t="s">
        <v>361</v>
      </c>
      <c r="B217" s="46" t="s">
        <v>362</v>
      </c>
      <c r="C217" s="7">
        <v>264647</v>
      </c>
      <c r="D217" s="6"/>
      <c r="E217" s="6"/>
      <c r="F217" s="7"/>
      <c r="G217" s="6"/>
      <c r="H217" s="6"/>
      <c r="I217" s="6"/>
      <c r="J217" s="6"/>
      <c r="K217" s="6"/>
      <c r="L217" s="6"/>
      <c r="M217" s="6"/>
      <c r="N217" s="7"/>
      <c r="O217" s="133">
        <f t="shared" si="40"/>
        <v>264647</v>
      </c>
      <c r="P217" s="40"/>
    </row>
    <row r="218" spans="1:16" ht="15">
      <c r="A218" s="45" t="s">
        <v>266</v>
      </c>
      <c r="B218" s="46" t="s">
        <v>163</v>
      </c>
      <c r="C218" s="7"/>
      <c r="D218" s="6"/>
      <c r="E218" s="6"/>
      <c r="F218" s="7"/>
      <c r="G218" s="6"/>
      <c r="H218" s="6"/>
      <c r="I218" s="6"/>
      <c r="J218" s="6">
        <v>632955</v>
      </c>
      <c r="K218" s="6"/>
      <c r="L218" s="6"/>
      <c r="M218" s="6"/>
      <c r="N218" s="7"/>
      <c r="O218" s="133">
        <f t="shared" si="40"/>
        <v>632955</v>
      </c>
      <c r="P218" s="40"/>
    </row>
    <row r="219" spans="1:16" ht="30">
      <c r="A219" s="45" t="s">
        <v>267</v>
      </c>
      <c r="B219" s="151" t="s">
        <v>363</v>
      </c>
      <c r="C219" s="6">
        <v>26350</v>
      </c>
      <c r="D219" s="6"/>
      <c r="E219" s="6"/>
      <c r="F219" s="7"/>
      <c r="G219" s="6"/>
      <c r="H219" s="6"/>
      <c r="I219" s="6"/>
      <c r="J219" s="6"/>
      <c r="K219" s="6"/>
      <c r="L219" s="6"/>
      <c r="M219" s="6"/>
      <c r="N219" s="7"/>
      <c r="O219" s="133">
        <f t="shared" si="40"/>
        <v>26350</v>
      </c>
      <c r="P219" s="40"/>
    </row>
    <row r="220" spans="1:16" ht="30">
      <c r="A220" s="161" t="s">
        <v>515</v>
      </c>
      <c r="B220" s="182" t="s">
        <v>516</v>
      </c>
      <c r="C220" s="7"/>
      <c r="D220" s="6"/>
      <c r="E220" s="6"/>
      <c r="F220" s="7"/>
      <c r="G220" s="6"/>
      <c r="H220" s="6"/>
      <c r="I220" s="6"/>
      <c r="J220" s="7"/>
      <c r="K220" s="7"/>
      <c r="L220" s="7"/>
      <c r="M220" s="7"/>
      <c r="N220" s="7"/>
      <c r="O220" s="133">
        <f t="shared" si="40"/>
        <v>0</v>
      </c>
      <c r="P220" s="40"/>
    </row>
    <row r="221" spans="1:16" ht="31.5">
      <c r="A221" s="161" t="s">
        <v>517</v>
      </c>
      <c r="B221" s="212" t="s">
        <v>518</v>
      </c>
      <c r="C221" s="7">
        <v>18150</v>
      </c>
      <c r="D221" s="6"/>
      <c r="E221" s="6"/>
      <c r="F221" s="7"/>
      <c r="G221" s="6"/>
      <c r="H221" s="6"/>
      <c r="I221" s="6"/>
      <c r="J221" s="7"/>
      <c r="K221" s="7"/>
      <c r="L221" s="7"/>
      <c r="M221" s="7"/>
      <c r="N221" s="7"/>
      <c r="O221" s="133">
        <f t="shared" si="40"/>
        <v>18150</v>
      </c>
      <c r="P221" s="40"/>
    </row>
    <row r="222" spans="1:16" ht="15">
      <c r="A222" s="45" t="s">
        <v>268</v>
      </c>
      <c r="B222" s="46" t="s">
        <v>162</v>
      </c>
      <c r="C222" s="7">
        <v>45241</v>
      </c>
      <c r="D222" s="6"/>
      <c r="E222" s="6"/>
      <c r="F222" s="7"/>
      <c r="G222" s="6"/>
      <c r="H222" s="6"/>
      <c r="I222" s="6">
        <v>550</v>
      </c>
      <c r="J222" s="7">
        <v>2570</v>
      </c>
      <c r="K222" s="7"/>
      <c r="L222" s="7"/>
      <c r="M222" s="7"/>
      <c r="N222" s="7"/>
      <c r="O222" s="133">
        <f t="shared" si="40"/>
        <v>48361</v>
      </c>
      <c r="P222" s="40"/>
    </row>
    <row r="223" spans="1:16" ht="30">
      <c r="A223" s="161" t="s">
        <v>519</v>
      </c>
      <c r="B223" s="209" t="s">
        <v>520</v>
      </c>
      <c r="C223" s="7">
        <v>19128</v>
      </c>
      <c r="D223" s="6"/>
      <c r="E223" s="6"/>
      <c r="F223" s="7"/>
      <c r="G223" s="6"/>
      <c r="H223" s="6"/>
      <c r="I223" s="6"/>
      <c r="J223" s="7"/>
      <c r="K223" s="7"/>
      <c r="L223" s="7"/>
      <c r="M223" s="7"/>
      <c r="N223" s="7"/>
      <c r="O223" s="133">
        <f t="shared" si="40"/>
        <v>19128</v>
      </c>
      <c r="P223" s="40"/>
    </row>
    <row r="224" spans="1:16" ht="45">
      <c r="A224" s="45" t="s">
        <v>308</v>
      </c>
      <c r="B224" s="157" t="s">
        <v>309</v>
      </c>
      <c r="C224" s="7">
        <v>53800</v>
      </c>
      <c r="D224" s="6"/>
      <c r="E224" s="6"/>
      <c r="F224" s="7"/>
      <c r="G224" s="6"/>
      <c r="H224" s="6"/>
      <c r="I224" s="6"/>
      <c r="J224" s="7"/>
      <c r="K224" s="7"/>
      <c r="L224" s="7"/>
      <c r="M224" s="7"/>
      <c r="N224" s="7"/>
      <c r="O224" s="133">
        <f t="shared" si="40"/>
        <v>53800</v>
      </c>
      <c r="P224" s="40"/>
    </row>
    <row r="225" spans="1:16" ht="30.75" thickBot="1">
      <c r="A225" s="154" t="s">
        <v>521</v>
      </c>
      <c r="B225" s="209" t="s">
        <v>522</v>
      </c>
      <c r="C225" s="6">
        <v>1607937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75"/>
      <c r="O225" s="133">
        <f>SUM(C225:N225)</f>
        <v>1607937</v>
      </c>
      <c r="P225" s="40"/>
    </row>
    <row r="226" spans="1:17" ht="15.75" thickBot="1">
      <c r="A226" s="213"/>
      <c r="B226" s="36" t="s">
        <v>14</v>
      </c>
      <c r="C226" s="38">
        <f aca="true" t="shared" si="41" ref="C226:N226">C7+C18+C24+C72+C86+C112+C117+C145+C210</f>
        <v>57839717</v>
      </c>
      <c r="D226" s="38">
        <f t="shared" si="41"/>
        <v>3307917</v>
      </c>
      <c r="E226" s="38">
        <f t="shared" si="41"/>
        <v>1467842</v>
      </c>
      <c r="F226" s="37">
        <f t="shared" si="41"/>
        <v>387842</v>
      </c>
      <c r="G226" s="37">
        <f t="shared" si="41"/>
        <v>1700547</v>
      </c>
      <c r="H226" s="37">
        <f t="shared" si="41"/>
        <v>440650</v>
      </c>
      <c r="I226" s="37">
        <f t="shared" si="41"/>
        <v>953474</v>
      </c>
      <c r="J226" s="38">
        <f t="shared" si="41"/>
        <v>2822669</v>
      </c>
      <c r="K226" s="38">
        <f t="shared" si="41"/>
        <v>386143</v>
      </c>
      <c r="L226" s="38">
        <f t="shared" si="41"/>
        <v>360600</v>
      </c>
      <c r="M226" s="38">
        <f t="shared" si="41"/>
        <v>335554</v>
      </c>
      <c r="N226" s="38">
        <f t="shared" si="41"/>
        <v>951503</v>
      </c>
      <c r="O226" s="39">
        <f>SUM(C226:N226)</f>
        <v>70954458</v>
      </c>
      <c r="P226" s="40"/>
      <c r="Q226" s="40"/>
    </row>
    <row r="227" spans="1:16" ht="15">
      <c r="A227" s="105" t="s">
        <v>164</v>
      </c>
      <c r="B227" s="67" t="s">
        <v>310</v>
      </c>
      <c r="C227" s="111">
        <f>2655854+94563+316216</f>
        <v>3066633</v>
      </c>
      <c r="D227" s="111"/>
      <c r="E227" s="111"/>
      <c r="F227" s="108"/>
      <c r="G227" s="108"/>
      <c r="H227" s="111"/>
      <c r="I227" s="111"/>
      <c r="J227" s="111"/>
      <c r="K227" s="111"/>
      <c r="L227" s="111"/>
      <c r="M227" s="111"/>
      <c r="N227" s="111"/>
      <c r="O227" s="108">
        <f>SUM(C227:N227)</f>
        <v>3066633</v>
      </c>
      <c r="P227" s="40"/>
    </row>
    <row r="228" spans="1:15" ht="15">
      <c r="A228" s="105" t="s">
        <v>288</v>
      </c>
      <c r="B228" s="67" t="s">
        <v>289</v>
      </c>
      <c r="C228" s="111"/>
      <c r="D228" s="111"/>
      <c r="E228" s="111"/>
      <c r="F228" s="108"/>
      <c r="G228" s="111"/>
      <c r="H228" s="111"/>
      <c r="I228" s="111"/>
      <c r="J228" s="111"/>
      <c r="K228" s="111"/>
      <c r="L228" s="111"/>
      <c r="M228" s="111"/>
      <c r="N228" s="111"/>
      <c r="O228" s="108">
        <f t="shared" si="40"/>
        <v>0</v>
      </c>
    </row>
    <row r="229" spans="1:15" ht="15">
      <c r="A229" s="103"/>
      <c r="B229" s="103"/>
      <c r="C229" s="103"/>
      <c r="D229" s="103"/>
      <c r="E229" s="103"/>
      <c r="F229" s="89"/>
      <c r="G229" s="103"/>
      <c r="H229" s="103"/>
      <c r="I229" s="103"/>
      <c r="J229" s="103"/>
      <c r="K229" s="103"/>
      <c r="L229" s="103"/>
      <c r="M229" s="103"/>
      <c r="N229" s="103"/>
      <c r="O229" s="108"/>
    </row>
    <row r="230" spans="1:15" ht="30">
      <c r="A230" s="214" t="s">
        <v>292</v>
      </c>
      <c r="B230" s="215" t="s">
        <v>311</v>
      </c>
      <c r="C230" s="103">
        <v>800000</v>
      </c>
      <c r="D230" s="103">
        <v>1667281</v>
      </c>
      <c r="E230" s="103"/>
      <c r="F230" s="89">
        <v>61724</v>
      </c>
      <c r="G230" s="103">
        <v>52382</v>
      </c>
      <c r="H230" s="103">
        <v>19204</v>
      </c>
      <c r="I230" s="103"/>
      <c r="J230" s="103">
        <v>18110</v>
      </c>
      <c r="K230" s="103"/>
      <c r="L230" s="103">
        <v>12954</v>
      </c>
      <c r="M230" s="103">
        <v>28468</v>
      </c>
      <c r="N230" s="103">
        <v>30576</v>
      </c>
      <c r="O230" s="108">
        <f t="shared" si="40"/>
        <v>2690699</v>
      </c>
    </row>
    <row r="231" spans="1:15" ht="30">
      <c r="A231" s="200" t="s">
        <v>270</v>
      </c>
      <c r="B231" s="216" t="s">
        <v>201</v>
      </c>
      <c r="C231" s="108">
        <v>7247518</v>
      </c>
      <c r="D231" s="108">
        <v>-834651</v>
      </c>
      <c r="E231" s="108">
        <v>-1081958</v>
      </c>
      <c r="F231" s="108">
        <v>-87615</v>
      </c>
      <c r="G231" s="108">
        <v>-1304484</v>
      </c>
      <c r="H231" s="108">
        <v>-253203</v>
      </c>
      <c r="I231" s="108">
        <v>-612887</v>
      </c>
      <c r="J231" s="108">
        <v>-1607424</v>
      </c>
      <c r="K231" s="108">
        <v>-213017</v>
      </c>
      <c r="L231" s="108">
        <v>-211132</v>
      </c>
      <c r="M231" s="108">
        <v>-244307</v>
      </c>
      <c r="N231" s="108">
        <v>-796840</v>
      </c>
      <c r="O231" s="108">
        <v>0</v>
      </c>
    </row>
    <row r="232" spans="1:15" ht="15">
      <c r="A232" s="200"/>
      <c r="B232" s="217"/>
      <c r="C232" s="108"/>
      <c r="D232" s="108"/>
      <c r="E232" s="108"/>
      <c r="F232" s="108"/>
      <c r="G232" s="108"/>
      <c r="H232" s="89"/>
      <c r="I232" s="89"/>
      <c r="J232" s="89"/>
      <c r="K232" s="89"/>
      <c r="L232" s="89"/>
      <c r="M232" s="89"/>
      <c r="N232" s="89"/>
      <c r="O232" s="108"/>
    </row>
    <row r="233" spans="1:15" ht="15">
      <c r="A233" s="103"/>
      <c r="B233" s="224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1:15" ht="15">
      <c r="A234" s="103"/>
      <c r="B234" s="18" t="s">
        <v>290</v>
      </c>
      <c r="C234" s="103"/>
      <c r="D234" s="103" t="s">
        <v>15</v>
      </c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11"/>
    </row>
    <row r="235" spans="1:15" ht="15">
      <c r="A235" s="89"/>
      <c r="B235" s="67"/>
      <c r="C235" s="108"/>
      <c r="D235" s="108"/>
      <c r="E235" s="108"/>
      <c r="F235" s="108"/>
      <c r="G235" s="218"/>
      <c r="H235" s="89"/>
      <c r="I235" s="103"/>
      <c r="J235" s="89"/>
      <c r="K235" s="89"/>
      <c r="L235" s="89"/>
      <c r="M235" s="103"/>
      <c r="N235" s="89"/>
      <c r="O235" s="89"/>
    </row>
    <row r="236" spans="1:15" ht="15">
      <c r="A236" s="89"/>
      <c r="B236" s="67"/>
      <c r="C236" s="108"/>
      <c r="D236" s="108"/>
      <c r="E236" s="108"/>
      <c r="F236" s="108"/>
      <c r="G236" s="218"/>
      <c r="H236" s="89"/>
      <c r="I236" s="103"/>
      <c r="J236" s="89"/>
      <c r="K236" s="89"/>
      <c r="L236" s="89"/>
      <c r="M236" s="103"/>
      <c r="N236" s="89"/>
      <c r="O236" s="89"/>
    </row>
    <row r="237" spans="1:15" ht="15">
      <c r="A237" s="89"/>
      <c r="B237" s="67"/>
      <c r="C237" s="108"/>
      <c r="D237" s="108"/>
      <c r="E237" s="108"/>
      <c r="F237" s="108"/>
      <c r="G237" s="218"/>
      <c r="H237" s="89"/>
      <c r="I237" s="103"/>
      <c r="J237" s="89"/>
      <c r="K237" s="89"/>
      <c r="L237" s="89"/>
      <c r="M237" s="103"/>
      <c r="N237" s="89"/>
      <c r="O237" s="89"/>
    </row>
    <row r="238" spans="1:15" ht="15">
      <c r="A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11"/>
    </row>
    <row r="239" spans="1:15" ht="44.25" customHeight="1" thickBot="1">
      <c r="A239" s="2" t="s">
        <v>384</v>
      </c>
      <c r="B239" s="2"/>
      <c r="C239" s="2"/>
      <c r="D239" s="2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11"/>
    </row>
    <row r="240" spans="1:15" ht="90.75" thickBot="1">
      <c r="A240" s="117" t="s">
        <v>0</v>
      </c>
      <c r="B240" s="118" t="s">
        <v>140</v>
      </c>
      <c r="C240" s="29" t="s">
        <v>369</v>
      </c>
      <c r="D240" s="119" t="s">
        <v>370</v>
      </c>
      <c r="E240" s="29" t="s">
        <v>371</v>
      </c>
      <c r="F240" s="29" t="s">
        <v>372</v>
      </c>
      <c r="G240" s="120" t="s">
        <v>373</v>
      </c>
      <c r="H240" s="120" t="s">
        <v>374</v>
      </c>
      <c r="I240" s="120" t="s">
        <v>375</v>
      </c>
      <c r="J240" s="120" t="s">
        <v>376</v>
      </c>
      <c r="K240" s="120" t="s">
        <v>524</v>
      </c>
      <c r="L240" s="120" t="s">
        <v>378</v>
      </c>
      <c r="M240" s="120" t="s">
        <v>379</v>
      </c>
      <c r="N240" s="121" t="s">
        <v>380</v>
      </c>
      <c r="O240" s="122" t="s">
        <v>381</v>
      </c>
    </row>
    <row r="241" spans="1:15" ht="15">
      <c r="A241" s="219">
        <v>1100</v>
      </c>
      <c r="B241" s="71" t="s">
        <v>197</v>
      </c>
      <c r="C241" s="15">
        <v>12311754</v>
      </c>
      <c r="D241" s="15">
        <v>975811</v>
      </c>
      <c r="E241" s="15">
        <v>715507</v>
      </c>
      <c r="F241" s="15">
        <v>70204</v>
      </c>
      <c r="G241" s="220">
        <v>888243</v>
      </c>
      <c r="H241" s="15">
        <v>127630</v>
      </c>
      <c r="I241" s="15">
        <v>447283</v>
      </c>
      <c r="J241" s="15">
        <v>1425300</v>
      </c>
      <c r="K241" s="15">
        <v>127381</v>
      </c>
      <c r="L241" s="15">
        <v>149012</v>
      </c>
      <c r="M241" s="15">
        <v>133007</v>
      </c>
      <c r="N241" s="221">
        <v>567591</v>
      </c>
      <c r="O241" s="166">
        <f aca="true" t="shared" si="42" ref="O241:O259">SUM(C241:N241)</f>
        <v>17938723</v>
      </c>
    </row>
    <row r="242" spans="1:15" ht="45">
      <c r="A242" s="78">
        <v>1200</v>
      </c>
      <c r="B242" s="46" t="s">
        <v>199</v>
      </c>
      <c r="C242" s="6">
        <v>3566909</v>
      </c>
      <c r="D242" s="6">
        <v>230195</v>
      </c>
      <c r="E242" s="6">
        <v>200680</v>
      </c>
      <c r="F242" s="6">
        <v>20766</v>
      </c>
      <c r="G242" s="85">
        <v>262428</v>
      </c>
      <c r="H242" s="6">
        <v>43256</v>
      </c>
      <c r="I242" s="6">
        <v>131998</v>
      </c>
      <c r="J242" s="6">
        <v>415329</v>
      </c>
      <c r="K242" s="6">
        <v>38008</v>
      </c>
      <c r="L242" s="6">
        <v>43754</v>
      </c>
      <c r="M242" s="6">
        <v>36671</v>
      </c>
      <c r="N242" s="50">
        <v>171585</v>
      </c>
      <c r="O242" s="133">
        <f>SUM(C242:N242)</f>
        <v>5161579</v>
      </c>
    </row>
    <row r="243" spans="1:15" ht="15">
      <c r="A243" s="78">
        <v>2000</v>
      </c>
      <c r="B243" s="46" t="s">
        <v>129</v>
      </c>
      <c r="C243" s="6">
        <f aca="true" t="shared" si="43" ref="C243:N243">SUM(C244:C248)</f>
        <v>7405566</v>
      </c>
      <c r="D243" s="6">
        <f t="shared" si="43"/>
        <v>1504007</v>
      </c>
      <c r="E243" s="6">
        <f t="shared" si="43"/>
        <v>447478</v>
      </c>
      <c r="F243" s="6">
        <f t="shared" si="43"/>
        <v>267700</v>
      </c>
      <c r="G243" s="3">
        <f t="shared" si="43"/>
        <v>530397</v>
      </c>
      <c r="H243" s="6">
        <f t="shared" si="43"/>
        <v>262173</v>
      </c>
      <c r="I243" s="6">
        <f t="shared" si="43"/>
        <v>360676</v>
      </c>
      <c r="J243" s="6">
        <f t="shared" si="43"/>
        <v>818748</v>
      </c>
      <c r="K243" s="6">
        <f t="shared" si="43"/>
        <v>210385</v>
      </c>
      <c r="L243" s="6">
        <f t="shared" si="43"/>
        <v>106858</v>
      </c>
      <c r="M243" s="6">
        <f t="shared" si="43"/>
        <v>145428</v>
      </c>
      <c r="N243" s="50">
        <f t="shared" si="43"/>
        <v>192827</v>
      </c>
      <c r="O243" s="133">
        <f>SUM(C243:N243)</f>
        <v>12252243</v>
      </c>
    </row>
    <row r="244" spans="1:15" ht="30">
      <c r="A244" s="78">
        <v>2100</v>
      </c>
      <c r="B244" s="46" t="s">
        <v>198</v>
      </c>
      <c r="C244" s="6">
        <v>164403</v>
      </c>
      <c r="D244" s="6">
        <v>2500</v>
      </c>
      <c r="E244" s="6"/>
      <c r="F244" s="6"/>
      <c r="G244" s="3">
        <v>680</v>
      </c>
      <c r="H244" s="6">
        <v>30</v>
      </c>
      <c r="I244" s="6">
        <v>70</v>
      </c>
      <c r="J244" s="6">
        <v>1290</v>
      </c>
      <c r="K244" s="6"/>
      <c r="L244" s="6">
        <v>30</v>
      </c>
      <c r="M244" s="6">
        <v>600</v>
      </c>
      <c r="N244" s="50">
        <v>250</v>
      </c>
      <c r="O244" s="133">
        <f t="shared" si="42"/>
        <v>169853</v>
      </c>
    </row>
    <row r="245" spans="1:15" ht="15">
      <c r="A245" s="78">
        <v>2200</v>
      </c>
      <c r="B245" s="46" t="s">
        <v>130</v>
      </c>
      <c r="C245" s="6">
        <f>5961426-6000</f>
        <v>5955426</v>
      </c>
      <c r="D245" s="6">
        <v>1027634</v>
      </c>
      <c r="E245" s="6">
        <v>348501</v>
      </c>
      <c r="F245" s="6">
        <v>248498</v>
      </c>
      <c r="G245" s="3">
        <v>285551</v>
      </c>
      <c r="H245" s="6">
        <v>218205</v>
      </c>
      <c r="I245" s="6">
        <v>264402</v>
      </c>
      <c r="J245" s="6">
        <v>507353</v>
      </c>
      <c r="K245" s="6">
        <v>151563</v>
      </c>
      <c r="L245" s="6">
        <v>79430</v>
      </c>
      <c r="M245" s="6">
        <v>116978</v>
      </c>
      <c r="N245" s="50">
        <v>88694</v>
      </c>
      <c r="O245" s="133">
        <f t="shared" si="42"/>
        <v>9292235</v>
      </c>
    </row>
    <row r="246" spans="1:15" ht="30">
      <c r="A246" s="78">
        <v>2300</v>
      </c>
      <c r="B246" s="46" t="s">
        <v>131</v>
      </c>
      <c r="C246" s="6">
        <v>1217460</v>
      </c>
      <c r="D246" s="6">
        <v>207689</v>
      </c>
      <c r="E246" s="6">
        <v>93977</v>
      </c>
      <c r="F246" s="6">
        <v>8742</v>
      </c>
      <c r="G246" s="3">
        <f>232966+9000</f>
        <v>241966</v>
      </c>
      <c r="H246" s="6">
        <v>37386</v>
      </c>
      <c r="I246" s="6">
        <f>90194+1000</f>
        <v>91194</v>
      </c>
      <c r="J246" s="6">
        <v>297232</v>
      </c>
      <c r="K246" s="6">
        <v>55848</v>
      </c>
      <c r="L246" s="6">
        <v>25278</v>
      </c>
      <c r="M246" s="6">
        <v>26550</v>
      </c>
      <c r="N246" s="50">
        <f>98796+1500</f>
        <v>100296</v>
      </c>
      <c r="O246" s="133">
        <f>SUM(C246:N246)</f>
        <v>2403618</v>
      </c>
    </row>
    <row r="247" spans="1:15" ht="15">
      <c r="A247" s="78">
        <v>2400</v>
      </c>
      <c r="B247" s="46" t="s">
        <v>165</v>
      </c>
      <c r="C247" s="6">
        <v>5420</v>
      </c>
      <c r="D247" s="6"/>
      <c r="E247" s="6"/>
      <c r="F247" s="6"/>
      <c r="G247" s="3">
        <v>1900</v>
      </c>
      <c r="H247" s="6">
        <v>460</v>
      </c>
      <c r="I247" s="6">
        <v>500</v>
      </c>
      <c r="J247" s="6">
        <v>1130</v>
      </c>
      <c r="K247" s="6">
        <v>1280</v>
      </c>
      <c r="L247" s="6">
        <v>850</v>
      </c>
      <c r="M247" s="6">
        <v>800</v>
      </c>
      <c r="N247" s="50">
        <v>1730</v>
      </c>
      <c r="O247" s="133">
        <f t="shared" si="42"/>
        <v>14070</v>
      </c>
    </row>
    <row r="248" spans="1:15" ht="15">
      <c r="A248" s="78">
        <v>2500</v>
      </c>
      <c r="B248" s="46" t="s">
        <v>132</v>
      </c>
      <c r="C248" s="6">
        <v>62857</v>
      </c>
      <c r="D248" s="6">
        <v>266184</v>
      </c>
      <c r="E248" s="6">
        <v>5000</v>
      </c>
      <c r="F248" s="6">
        <f>10360+100</f>
        <v>10460</v>
      </c>
      <c r="G248" s="3">
        <v>300</v>
      </c>
      <c r="H248" s="6">
        <v>6092</v>
      </c>
      <c r="I248" s="6">
        <v>4510</v>
      </c>
      <c r="J248" s="6">
        <v>11743</v>
      </c>
      <c r="K248" s="6">
        <v>1694</v>
      </c>
      <c r="L248" s="6">
        <v>1270</v>
      </c>
      <c r="M248" s="6">
        <v>500</v>
      </c>
      <c r="N248" s="50">
        <v>1857</v>
      </c>
      <c r="O248" s="133">
        <f t="shared" si="42"/>
        <v>372467</v>
      </c>
    </row>
    <row r="249" spans="1:15" ht="30">
      <c r="A249" s="78">
        <v>3200</v>
      </c>
      <c r="B249" s="46" t="s">
        <v>200</v>
      </c>
      <c r="C249" s="6">
        <f>2342895+6000</f>
        <v>2348895</v>
      </c>
      <c r="D249" s="6"/>
      <c r="E249" s="6"/>
      <c r="F249" s="6"/>
      <c r="G249" s="3"/>
      <c r="H249" s="6"/>
      <c r="I249" s="6"/>
      <c r="J249" s="6"/>
      <c r="K249" s="6"/>
      <c r="L249" s="6"/>
      <c r="M249" s="6"/>
      <c r="N249" s="50"/>
      <c r="O249" s="133">
        <f t="shared" si="42"/>
        <v>2348895</v>
      </c>
    </row>
    <row r="250" spans="1:15" ht="15">
      <c r="A250" s="78">
        <v>4200</v>
      </c>
      <c r="B250" s="46" t="s">
        <v>133</v>
      </c>
      <c r="C250" s="6"/>
      <c r="D250" s="6"/>
      <c r="E250" s="6"/>
      <c r="F250" s="6"/>
      <c r="G250" s="3"/>
      <c r="H250" s="6"/>
      <c r="I250" s="6"/>
      <c r="J250" s="6"/>
      <c r="K250" s="6"/>
      <c r="L250" s="6"/>
      <c r="M250" s="6"/>
      <c r="N250" s="50"/>
      <c r="O250" s="133">
        <f t="shared" si="42"/>
        <v>0</v>
      </c>
    </row>
    <row r="251" spans="1:15" ht="15">
      <c r="A251" s="78">
        <v>4300</v>
      </c>
      <c r="B251" s="46" t="s">
        <v>134</v>
      </c>
      <c r="C251" s="6">
        <v>80000</v>
      </c>
      <c r="D251" s="6"/>
      <c r="E251" s="6"/>
      <c r="F251" s="6"/>
      <c r="G251" s="3"/>
      <c r="H251" s="6"/>
      <c r="I251" s="6"/>
      <c r="J251" s="6"/>
      <c r="K251" s="6"/>
      <c r="L251" s="6"/>
      <c r="M251" s="6"/>
      <c r="N251" s="50"/>
      <c r="O251" s="133">
        <f t="shared" si="42"/>
        <v>80000</v>
      </c>
    </row>
    <row r="252" spans="1:15" ht="15">
      <c r="A252" s="78">
        <v>5100</v>
      </c>
      <c r="B252" s="46" t="s">
        <v>135</v>
      </c>
      <c r="C252" s="6">
        <v>35480</v>
      </c>
      <c r="D252" s="6"/>
      <c r="E252" s="6">
        <v>5168</v>
      </c>
      <c r="F252" s="6"/>
      <c r="G252" s="3"/>
      <c r="H252" s="6"/>
      <c r="I252" s="6">
        <v>400</v>
      </c>
      <c r="J252" s="6"/>
      <c r="K252" s="6"/>
      <c r="L252" s="6"/>
      <c r="M252" s="6"/>
      <c r="N252" s="50"/>
      <c r="O252" s="133">
        <f t="shared" si="42"/>
        <v>41048</v>
      </c>
    </row>
    <row r="253" spans="1:15" ht="15">
      <c r="A253" s="78">
        <v>5200</v>
      </c>
      <c r="B253" s="46" t="s">
        <v>136</v>
      </c>
      <c r="C253" s="6">
        <v>29668013</v>
      </c>
      <c r="D253" s="6">
        <v>597904</v>
      </c>
      <c r="E253" s="6">
        <v>99009</v>
      </c>
      <c r="F253" s="6">
        <v>29172</v>
      </c>
      <c r="G253" s="3">
        <v>19479</v>
      </c>
      <c r="H253" s="6">
        <v>7591</v>
      </c>
      <c r="I253" s="6">
        <v>13027</v>
      </c>
      <c r="J253" s="6">
        <v>162792</v>
      </c>
      <c r="K253" s="6">
        <v>7969</v>
      </c>
      <c r="L253" s="6">
        <v>58576</v>
      </c>
      <c r="M253" s="6">
        <v>18048</v>
      </c>
      <c r="N253" s="50">
        <v>19500</v>
      </c>
      <c r="O253" s="133">
        <f t="shared" si="42"/>
        <v>30701080</v>
      </c>
    </row>
    <row r="254" spans="1:15" ht="15">
      <c r="A254" s="78">
        <v>6200</v>
      </c>
      <c r="B254" s="46" t="s">
        <v>137</v>
      </c>
      <c r="C254" s="6">
        <v>554293</v>
      </c>
      <c r="D254" s="6"/>
      <c r="E254" s="6"/>
      <c r="F254" s="6"/>
      <c r="G254" s="3"/>
      <c r="H254" s="6"/>
      <c r="I254" s="6"/>
      <c r="J254" s="6"/>
      <c r="K254" s="6">
        <v>2400</v>
      </c>
      <c r="L254" s="6">
        <v>2400</v>
      </c>
      <c r="M254" s="6">
        <v>2400</v>
      </c>
      <c r="N254" s="50"/>
      <c r="O254" s="133">
        <f t="shared" si="42"/>
        <v>561493</v>
      </c>
    </row>
    <row r="255" spans="1:15" ht="15">
      <c r="A255" s="78">
        <v>6300</v>
      </c>
      <c r="B255" s="46" t="s">
        <v>166</v>
      </c>
      <c r="C255" s="6">
        <v>240112</v>
      </c>
      <c r="D255" s="6"/>
      <c r="E255" s="6"/>
      <c r="F255" s="6"/>
      <c r="G255" s="3"/>
      <c r="H255" s="6"/>
      <c r="I255" s="6">
        <f>600-600</f>
        <v>0</v>
      </c>
      <c r="J255" s="6"/>
      <c r="K255" s="6"/>
      <c r="L255" s="6"/>
      <c r="M255" s="6"/>
      <c r="N255" s="50"/>
      <c r="O255" s="133">
        <f t="shared" si="42"/>
        <v>240112</v>
      </c>
    </row>
    <row r="256" spans="1:15" ht="30">
      <c r="A256" s="78">
        <v>6400</v>
      </c>
      <c r="B256" s="46" t="s">
        <v>272</v>
      </c>
      <c r="C256" s="6">
        <v>733189</v>
      </c>
      <c r="D256" s="6"/>
      <c r="E256" s="6"/>
      <c r="F256" s="6"/>
      <c r="G256" s="3">
        <f>9000-9000</f>
        <v>0</v>
      </c>
      <c r="H256" s="6"/>
      <c r="I256" s="6">
        <f>490-400</f>
        <v>90</v>
      </c>
      <c r="J256" s="6">
        <v>500</v>
      </c>
      <c r="K256" s="6"/>
      <c r="L256" s="6"/>
      <c r="M256" s="6"/>
      <c r="N256" s="50">
        <f>1500-1500</f>
        <v>0</v>
      </c>
      <c r="O256" s="133">
        <f t="shared" si="42"/>
        <v>733779</v>
      </c>
    </row>
    <row r="257" spans="1:15" ht="30">
      <c r="A257" s="78">
        <v>6500</v>
      </c>
      <c r="B257" s="46" t="s">
        <v>312</v>
      </c>
      <c r="C257" s="6"/>
      <c r="D257" s="6"/>
      <c r="E257" s="6"/>
      <c r="F257" s="6"/>
      <c r="G257" s="3"/>
      <c r="H257" s="6"/>
      <c r="I257" s="6"/>
      <c r="J257" s="6"/>
      <c r="K257" s="6"/>
      <c r="L257" s="6"/>
      <c r="M257" s="6"/>
      <c r="N257" s="50"/>
      <c r="O257" s="133">
        <f t="shared" si="42"/>
        <v>0</v>
      </c>
    </row>
    <row r="258" spans="1:15" ht="15">
      <c r="A258" s="78">
        <v>7200</v>
      </c>
      <c r="B258" s="46" t="s">
        <v>202</v>
      </c>
      <c r="C258" s="6">
        <v>895506</v>
      </c>
      <c r="D258" s="6"/>
      <c r="E258" s="6"/>
      <c r="F258" s="6"/>
      <c r="G258" s="3"/>
      <c r="H258" s="6"/>
      <c r="I258" s="6"/>
      <c r="J258" s="6"/>
      <c r="K258" s="6"/>
      <c r="L258" s="6"/>
      <c r="M258" s="6"/>
      <c r="N258" s="50"/>
      <c r="O258" s="133">
        <f>SUM(C258:N258)</f>
        <v>895506</v>
      </c>
    </row>
    <row r="259" spans="1:15" ht="15.75" thickBot="1">
      <c r="A259" s="66">
        <v>9000</v>
      </c>
      <c r="B259" s="222" t="s">
        <v>316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4"/>
      <c r="O259" s="133">
        <f t="shared" si="42"/>
        <v>0</v>
      </c>
    </row>
    <row r="260" spans="1:15" ht="15.75" thickBot="1">
      <c r="A260" s="213"/>
      <c r="B260" s="124" t="s">
        <v>138</v>
      </c>
      <c r="C260" s="223">
        <f aca="true" t="shared" si="44" ref="C260:N260">SUM(C241:C243,C249:C259)</f>
        <v>57839717</v>
      </c>
      <c r="D260" s="223">
        <f t="shared" si="44"/>
        <v>3307917</v>
      </c>
      <c r="E260" s="223">
        <f t="shared" si="44"/>
        <v>1467842</v>
      </c>
      <c r="F260" s="223">
        <f t="shared" si="44"/>
        <v>387842</v>
      </c>
      <c r="G260" s="223">
        <f t="shared" si="44"/>
        <v>1700547</v>
      </c>
      <c r="H260" s="223">
        <f t="shared" si="44"/>
        <v>440650</v>
      </c>
      <c r="I260" s="223">
        <f t="shared" si="44"/>
        <v>953474</v>
      </c>
      <c r="J260" s="223">
        <f t="shared" si="44"/>
        <v>2822669</v>
      </c>
      <c r="K260" s="223">
        <f t="shared" si="44"/>
        <v>386143</v>
      </c>
      <c r="L260" s="223">
        <f t="shared" si="44"/>
        <v>360600</v>
      </c>
      <c r="M260" s="223">
        <f t="shared" si="44"/>
        <v>335554</v>
      </c>
      <c r="N260" s="223">
        <f t="shared" si="44"/>
        <v>951503</v>
      </c>
      <c r="O260" s="39">
        <f>SUM(C260:N260)</f>
        <v>70954458</v>
      </c>
    </row>
    <row r="261" spans="2:6" ht="15">
      <c r="B261" s="224"/>
      <c r="C261" s="25"/>
      <c r="D261" s="89"/>
      <c r="E261" s="103"/>
      <c r="F261" s="103"/>
    </row>
    <row r="262" spans="2:15" ht="15">
      <c r="B262" s="224"/>
      <c r="C262" s="25"/>
      <c r="D262" s="89"/>
      <c r="E262" s="103"/>
      <c r="F262" s="103"/>
      <c r="O262" s="111"/>
    </row>
    <row r="263" spans="2:6" ht="15">
      <c r="B263" s="34" t="s">
        <v>290</v>
      </c>
      <c r="C263" s="25"/>
      <c r="D263" s="89"/>
      <c r="E263" s="103" t="s">
        <v>15</v>
      </c>
      <c r="F263" s="103"/>
    </row>
    <row r="268" ht="15">
      <c r="B268" s="34"/>
    </row>
  </sheetData>
  <sheetProtection/>
  <mergeCells count="2">
    <mergeCell ref="A5:D5"/>
    <mergeCell ref="A239:D239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Zane Cirīte</cp:lastModifiedBy>
  <cp:lastPrinted>2021-01-28T10:52:14Z</cp:lastPrinted>
  <dcterms:created xsi:type="dcterms:W3CDTF">2004-01-19T11:58:34Z</dcterms:created>
  <dcterms:modified xsi:type="dcterms:W3CDTF">2021-02-01T07:22:33Z</dcterms:modified>
  <cp:category/>
  <cp:version/>
  <cp:contentType/>
  <cp:contentStatus/>
</cp:coreProperties>
</file>