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55" windowHeight="7590" activeTab="0"/>
  </bookViews>
  <sheets>
    <sheet name="Pamatbudžets   " sheetId="1" r:id="rId1"/>
    <sheet name="Specbudžets " sheetId="2" r:id="rId2"/>
    <sheet name="Sheet2" sheetId="3" r:id="rId3"/>
    <sheet name="Sheet3" sheetId="4" r:id="rId4"/>
  </sheets>
  <externalReferences>
    <externalReference r:id="rId7"/>
  </externalReferences>
  <definedNames>
    <definedName name="_xlnm.Print_Titles" localSheetId="0">'Pamatbudžets   '!$7:$7</definedName>
  </definedNames>
  <calcPr fullCalcOnLoad="1"/>
</workbook>
</file>

<file path=xl/sharedStrings.xml><?xml version="1.0" encoding="utf-8"?>
<sst xmlns="http://schemas.openxmlformats.org/spreadsheetml/2006/main" count="646" uniqueCount="507">
  <si>
    <t>Izglītība</t>
  </si>
  <si>
    <t>04.000</t>
  </si>
  <si>
    <t>05.200</t>
  </si>
  <si>
    <t>06.000</t>
  </si>
  <si>
    <t>07.000</t>
  </si>
  <si>
    <t>Kultūra</t>
  </si>
  <si>
    <t>08.000</t>
  </si>
  <si>
    <t>10.000</t>
  </si>
  <si>
    <t>Sporta centrs</t>
  </si>
  <si>
    <t xml:space="preserve">   Ieņēmuma pozīcijas nosaukums             </t>
  </si>
  <si>
    <t>Kods</t>
  </si>
  <si>
    <t>Pielikums Nr.1</t>
  </si>
  <si>
    <t>Ogres novada domes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</si>
  <si>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</si>
  <si>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</si>
  <si>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</si>
  <si>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</si>
  <si>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</si>
  <si>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</si>
  <si>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</si>
  <si>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</si>
  <si>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</si>
  <si>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Kredīta atmaksa</t>
  </si>
  <si>
    <t>S.Velberga</t>
  </si>
  <si>
    <t>Nodokļu ieņēmumi</t>
  </si>
  <si>
    <t>1.1.1.0.</t>
  </si>
  <si>
    <t>1.1.1.1.</t>
  </si>
  <si>
    <t>1.1.1.2.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</si>
  <si>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</si>
  <si>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</si>
  <si>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</si>
  <si>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</si>
  <si>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</si>
  <si>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</si>
  <si>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</si>
  <si>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</si>
  <si>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</si>
  <si>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</si>
  <si>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</si>
  <si>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</si>
  <si>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</si>
  <si>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</si>
  <si>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</si>
  <si>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</si>
  <si>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</si>
  <si>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</si>
  <si>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</si>
  <si>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</si>
  <si>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</si>
  <si>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</si>
  <si>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</si>
  <si>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Valsts kases kredīts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</si>
  <si>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</si>
  <si>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</si>
  <si>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</si>
  <si>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</si>
  <si>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</si>
  <si>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</si>
  <si>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</si>
  <si>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</si>
  <si>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 xml:space="preserve">       Pašvaldību budžetu valsts iekšējā parāda darījumi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</si>
  <si>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</si>
  <si>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</si>
  <si>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</si>
  <si>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</si>
  <si>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</si>
  <si>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</si>
  <si>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</si>
  <si>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</si>
  <si>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</si>
  <si>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</si>
  <si>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</si>
  <si>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</si>
  <si>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</si>
  <si>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</si>
  <si>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</si>
  <si>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 xml:space="preserve">       Ceļu būvniecībai un remontiem</t>
  </si>
  <si>
    <t>04.600</t>
  </si>
  <si>
    <t>Sakari</t>
  </si>
  <si>
    <t>04.730</t>
  </si>
  <si>
    <t>Tūrisms</t>
  </si>
  <si>
    <t>Vides aizsardzība</t>
  </si>
  <si>
    <t>05.100</t>
  </si>
  <si>
    <t>Atkritumu apsaimniekošana</t>
  </si>
  <si>
    <t>Notekūdeņu apsaimniekošana</t>
  </si>
  <si>
    <t xml:space="preserve">       Notekūdeņu (savākšana un attīrīšana)</t>
  </si>
  <si>
    <t>Pašvaldības teritoriju un mājokļu apsaimniekošana</t>
  </si>
  <si>
    <t>06.200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</si>
  <si>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</si>
  <si>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</si>
  <si>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</si>
  <si>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</si>
  <si>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</si>
  <si>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</si>
  <si>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</si>
  <si>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</si>
  <si>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</si>
  <si>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</si>
  <si>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</si>
  <si>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</si>
  <si>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</si>
  <si>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</si>
  <si>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</si>
  <si>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08.210</t>
  </si>
  <si>
    <t>08.220</t>
  </si>
  <si>
    <t>08.230</t>
  </si>
  <si>
    <t>08.290</t>
  </si>
  <si>
    <t>Televīzija</t>
  </si>
  <si>
    <t>08.330</t>
  </si>
  <si>
    <t>Izdevniecība ( Novada informatīvie izdevumi )</t>
  </si>
  <si>
    <t>09.000</t>
  </si>
  <si>
    <t>09.100</t>
  </si>
  <si>
    <t>PII  "Sprīdītis"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</si>
  <si>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</si>
  <si>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</si>
  <si>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</si>
  <si>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</si>
  <si>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</si>
  <si>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</si>
  <si>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</si>
  <si>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Jaunogres vidusskola</t>
  </si>
  <si>
    <t>Ogresgala pamatskola</t>
  </si>
  <si>
    <t>09.510</t>
  </si>
  <si>
    <t>Interešu un profesionālās ievirzes izglītība</t>
  </si>
  <si>
    <t>Mūzikas skola</t>
  </si>
  <si>
    <t>Mākslas skola</t>
  </si>
  <si>
    <t>Bērnu un jauniešu centrs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</si>
  <si>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</si>
  <si>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</si>
  <si>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</si>
  <si>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</si>
  <si>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</si>
  <si>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</si>
  <si>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</si>
  <si>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Invalīdu biedrības Ogres nodaļa</t>
  </si>
  <si>
    <t>Neredzīgo biedrības Ogres nodaļa</t>
  </si>
  <si>
    <t>Politiski represēto klubam</t>
  </si>
  <si>
    <t>Basketbola skola</t>
  </si>
  <si>
    <t>Nemateriālie ieguldījumi</t>
  </si>
  <si>
    <t>13.0.0.0.</t>
  </si>
  <si>
    <t xml:space="preserve">       Lietus ūdens kanalizācija </t>
  </si>
  <si>
    <t xml:space="preserve">      Nevalstisko org.projektu atbalstam</t>
  </si>
  <si>
    <t xml:space="preserve">    Muzeji un izstādes</t>
  </si>
  <si>
    <t xml:space="preserve">          Gaidu un skautu muzejs</t>
  </si>
  <si>
    <t xml:space="preserve">    Finansējums PA "Ogres kultūras centrs"</t>
  </si>
  <si>
    <t xml:space="preserve">    Kultūras pasākumi</t>
  </si>
  <si>
    <t xml:space="preserve">    Pilsētas dekorēšana svētkiem</t>
  </si>
  <si>
    <t xml:space="preserve">    Pensionēto izglītības darbinieku pasāk.</t>
  </si>
  <si>
    <t>PII " Strautiņš"</t>
  </si>
  <si>
    <t xml:space="preserve">Pozīcijas nosaukums             </t>
  </si>
  <si>
    <t>Ieņēmumi no iedzīvotāju ienākuma nodokļa</t>
  </si>
  <si>
    <t>Saņemts no VK sadales konta  iepriekšējā gada nesadalītais iedzīvotāju ienākuma nodokļa atlikums</t>
  </si>
  <si>
    <t>Saņemts no VK sadales konta  pārskata gadā ieskaitītais iedzīvotāju ienākuma nodoklis</t>
  </si>
  <si>
    <t>4.0.0.0.</t>
  </si>
  <si>
    <t>Īpašuma nodokļi</t>
  </si>
  <si>
    <t>8.6.0.0.</t>
  </si>
  <si>
    <t>Procentu ieņēmumi par depozītiem, kontu atlikumiem un vērtpapīriem</t>
  </si>
  <si>
    <t>10.1.0.0.</t>
  </si>
  <si>
    <t>Naudas sodi</t>
  </si>
  <si>
    <t>10.3.0.0.</t>
  </si>
  <si>
    <t>Soda sankcijas par vispārējiem nodokļu maksāšanas pārkāpumiem</t>
  </si>
  <si>
    <t>12.3.0.0.</t>
  </si>
  <si>
    <t>19.1.0.0.</t>
  </si>
  <si>
    <t>21.3.4.0.</t>
  </si>
  <si>
    <t>Procentu ieņēmumi par maksas pakalpojumu un citu pašu ieņēmumu ieguldījumiem depozītā vai kontu atlikumiem</t>
  </si>
  <si>
    <t>21.3.5.0.</t>
  </si>
  <si>
    <t>Maksa par izglītības pakalpojumiem</t>
  </si>
  <si>
    <t>21.3.6.0.</t>
  </si>
  <si>
    <t>Ieņēmumi no lauksaimnieciskās darbības</t>
  </si>
  <si>
    <t>21.3.7.0.</t>
  </si>
  <si>
    <t>Ieņēmumi par  dokumentu izsniegšanu un kancelejas pakalpojumiem</t>
  </si>
  <si>
    <t>F40 32 00 10</t>
  </si>
  <si>
    <t>04.430</t>
  </si>
  <si>
    <t>Būvvalde</t>
  </si>
  <si>
    <t>Ielu tīrīšanai, atkritumu savākšanai,teritoriju labiekārtošanai</t>
  </si>
  <si>
    <t>Mājokļu attīstība pašvaldībā</t>
  </si>
  <si>
    <t xml:space="preserve">      Pārējie izdevumi</t>
  </si>
  <si>
    <t xml:space="preserve">       Ģimenes ārstu prakse 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</si>
  <si>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</si>
  <si>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</si>
  <si>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</si>
  <si>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</si>
  <si>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</si>
  <si>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</si>
  <si>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</si>
  <si>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Lauberes pamatskola</t>
  </si>
  <si>
    <t>Suntažu sanatorijas internātpamatskola</t>
  </si>
  <si>
    <t>Madlienas mūzikas un mākslas skola</t>
  </si>
  <si>
    <t>09.520</t>
  </si>
  <si>
    <t>Pedagogu profesionālās meistarības pilnveidošana</t>
  </si>
  <si>
    <t>ESF proj. Pedagogu konkurētspējas veicināšanai</t>
  </si>
  <si>
    <t>09.600</t>
  </si>
  <si>
    <t>Izglītības papildu pakalpojumi</t>
  </si>
  <si>
    <t>09.810</t>
  </si>
  <si>
    <t>10.500</t>
  </si>
  <si>
    <t>Atbalsts bezdarba gadījumā</t>
  </si>
  <si>
    <t xml:space="preserve">Sabiedriskās organizācijas </t>
  </si>
  <si>
    <t>Bērnu nams "Laubere"</t>
  </si>
  <si>
    <t>Pansionāts "Madliena"</t>
  </si>
  <si>
    <t>Latvijas nacionālo karavīru biedrība</t>
  </si>
  <si>
    <t>Preces un pakalpojumi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</si>
  <si>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</si>
  <si>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</si>
  <si>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</si>
  <si>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</si>
  <si>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>Procentu maksājumi iekšzemes kredītiestādēm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</si>
  <si>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</si>
  <si>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</si>
  <si>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</si>
  <si>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</si>
  <si>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</si>
  <si>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Zaudējumi no valūtas kursa svārstībām</t>
  </si>
  <si>
    <t>21.1.0.0.</t>
  </si>
  <si>
    <t xml:space="preserve">Budžeta iestādes ieņēmumi no ārvalstu finanšu palīdzības </t>
  </si>
  <si>
    <t>F56010000</t>
  </si>
  <si>
    <t>Kapitālieguldījumu fondu akcijas</t>
  </si>
  <si>
    <t>Atalgojums</t>
  </si>
  <si>
    <t>Projekts Skolēnu autobusi (Šveice)</t>
  </si>
  <si>
    <t>Projekts Skolēnu autobusi (Soc.droš.tīkls)</t>
  </si>
  <si>
    <t>10.400</t>
  </si>
  <si>
    <t>Atbalsts ģimenēm ar bērniem (Bāriņtiesas)</t>
  </si>
  <si>
    <t>Ūdenssaimniecības attīstības projekti pagastos</t>
  </si>
  <si>
    <t>18.6.0.0.</t>
  </si>
  <si>
    <t>4.1.3.0.</t>
  </si>
  <si>
    <t>Nekustamā īpašuma nodoklis par mājokļiem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</si>
  <si>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</si>
  <si>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</si>
  <si>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</si>
  <si>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Pašvaldības iestāžu saņemtie transferti no augstākstāvošās iestādes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</si>
  <si>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</si>
  <si>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</si>
  <si>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</si>
  <si>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</si>
  <si>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</si>
  <si>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>01.8302</t>
  </si>
  <si>
    <t xml:space="preserve">Izdevumi neparedzētiem gadījumiem </t>
  </si>
  <si>
    <t>03.110</t>
  </si>
  <si>
    <t>Pārējie sabiedriskās kārtības un drošības pakalpojumi (Video novērošanai Ogrē)</t>
  </si>
  <si>
    <t>04.11101</t>
  </si>
  <si>
    <t>Uzņēmējdarbības  attīstības veicināšanai</t>
  </si>
  <si>
    <t>04.11104</t>
  </si>
  <si>
    <t>Young Active Creative</t>
  </si>
  <si>
    <t>04.11106</t>
  </si>
  <si>
    <t>Projektu pieteikumu un Ogres novada Startēģijas izstrāde</t>
  </si>
  <si>
    <t>04.11107</t>
  </si>
  <si>
    <t>Starptautiskā Kapacitāte</t>
  </si>
  <si>
    <t>04.11108</t>
  </si>
  <si>
    <t xml:space="preserve">Lauksaimniecība </t>
  </si>
  <si>
    <t>04.51001</t>
  </si>
  <si>
    <t>04.51002</t>
  </si>
  <si>
    <t>04.51003</t>
  </si>
  <si>
    <t>Projekts Atbalsts novadu attīstībai ERAF (Brīvības ielas rekonstrukcija)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</si>
  <si>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</si>
  <si>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</si>
  <si>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</si>
  <si>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</si>
  <si>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</si>
  <si>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</si>
  <si>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</si>
  <si>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</si>
  <si>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05.30002</t>
  </si>
  <si>
    <t>05.400</t>
  </si>
  <si>
    <t>Bioloģiskās daudzveidības un ainavas aizsardzība</t>
  </si>
  <si>
    <t>Teritoriju attīstība ( projektēšanai )</t>
  </si>
  <si>
    <t>06.3001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</si>
  <si>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</si>
  <si>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</si>
  <si>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</si>
  <si>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</si>
  <si>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</si>
  <si>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</si>
  <si>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</si>
  <si>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</si>
  <si>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 xml:space="preserve">      Saimniecības nodaļa</t>
  </si>
  <si>
    <t>07.2101</t>
  </si>
  <si>
    <t>07.2102</t>
  </si>
  <si>
    <t>08.1001</t>
  </si>
  <si>
    <t>08.1002</t>
  </si>
  <si>
    <t>08.2201</t>
  </si>
  <si>
    <t>08.2202</t>
  </si>
  <si>
    <t xml:space="preserve">    Kultūras centri, nami</t>
  </si>
  <si>
    <t>Pārējā citur neklasificētā kultūra</t>
  </si>
  <si>
    <t>08.29001</t>
  </si>
  <si>
    <t>08.29002</t>
  </si>
  <si>
    <t>08.29003</t>
  </si>
  <si>
    <t>08.310</t>
  </si>
  <si>
    <t xml:space="preserve">Pirmsskolas izglītība </t>
  </si>
  <si>
    <t>09.10001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</si>
  <si>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</si>
  <si>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</si>
  <si>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</si>
  <si>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</si>
  <si>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</si>
  <si>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</si>
  <si>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</si>
  <si>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</si>
  <si>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</si>
  <si>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</si>
  <si>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</si>
  <si>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</si>
  <si>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</si>
  <si>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</si>
  <si>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</si>
  <si>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</si>
  <si>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</si>
  <si>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</si>
  <si>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</si>
  <si>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</si>
  <si>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09.21909</t>
  </si>
  <si>
    <t>09.21910</t>
  </si>
  <si>
    <t>09.5101</t>
  </si>
  <si>
    <t>09.5102</t>
  </si>
  <si>
    <t>09.5103</t>
  </si>
  <si>
    <t>09.5104</t>
  </si>
  <si>
    <t>09.5105</t>
  </si>
  <si>
    <t>09.5106</t>
  </si>
  <si>
    <t>09.5201</t>
  </si>
  <si>
    <t>Pārējā izglītības vadība (Izglītības un sporta pārvalde)</t>
  </si>
  <si>
    <t>Pārējā citur neklasificētā izglītība (izglītības projektu realizācija)</t>
  </si>
  <si>
    <t>09.82001</t>
  </si>
  <si>
    <t>09.82007</t>
  </si>
  <si>
    <t>09.82008</t>
  </si>
  <si>
    <t>09.82011</t>
  </si>
  <si>
    <t>09.82012</t>
  </si>
  <si>
    <t>10.70001</t>
  </si>
  <si>
    <t>10.70002</t>
  </si>
  <si>
    <t>10.70003</t>
  </si>
  <si>
    <t>10.70004</t>
  </si>
  <si>
    <t>10.70005</t>
  </si>
  <si>
    <t>10.70006</t>
  </si>
  <si>
    <t>10.70007</t>
  </si>
  <si>
    <t>10.70008</t>
  </si>
  <si>
    <t>10.70009</t>
  </si>
  <si>
    <t>10.70010</t>
  </si>
  <si>
    <t>10.70011</t>
  </si>
  <si>
    <t>Līdzekļu atlikums uz gada beigām (Kases apgrozāmie līdzekļi )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</si>
  <si>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</si>
  <si>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</si>
  <si>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</si>
  <si>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Pakalpojumi, kurus budžeta iestādes apmaksā noteikto funkciju ietvaros, kas nav iestādes administratīvie izdevumi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</si>
  <si>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</si>
  <si>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</si>
  <si>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</si>
  <si>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>06.100</t>
  </si>
  <si>
    <t>10.70013</t>
  </si>
  <si>
    <t>Latvijas Sarkanā Krusta Ogres komiteja</t>
  </si>
  <si>
    <t>03.200</t>
  </si>
  <si>
    <t>04.51006</t>
  </si>
  <si>
    <t>ESTLAT Riverways Ogres upes promenāde</t>
  </si>
  <si>
    <t>05.30003</t>
  </si>
  <si>
    <t xml:space="preserve">       mājokļu apsaimniekošana</t>
  </si>
  <si>
    <t xml:space="preserve">       siltumapgāde</t>
  </si>
  <si>
    <t xml:space="preserve">       kapu saimniecība</t>
  </si>
  <si>
    <t xml:space="preserve">          Vēstures un mākslas muzejs</t>
  </si>
  <si>
    <t>08.29009</t>
  </si>
  <si>
    <t>06.60011</t>
  </si>
  <si>
    <t>Ugunsdrošības, glābšanas un civilās drošības dienesti</t>
  </si>
  <si>
    <t>09.82014</t>
  </si>
  <si>
    <t>Sporta inventāra iegāde Ogres vispārējās vidējās izglītības iestādēm</t>
  </si>
  <si>
    <t>09.82015</t>
  </si>
  <si>
    <t>Ogres novada Meņģeles, Mazozolu un Taurupes pagasta sporta aktivitāšu un infrastruktūras uzlabošana</t>
  </si>
  <si>
    <t>09.82016</t>
  </si>
  <si>
    <t xml:space="preserve"> COMENIUS Regio apakšprogrammas projekta “Outdoor Learning 4 All” </t>
  </si>
  <si>
    <t xml:space="preserve">         Projekts "Comenius " -Ogres sākumskola</t>
  </si>
  <si>
    <t>Ieņēmumi no pašvaldības īpašuma iznomāšanas, pārdošanas un nodokļu pamatp.kapitaliz.</t>
  </si>
  <si>
    <t>Projekts Tīnūžu-Brīvības ielas rekonstrukcija</t>
  </si>
  <si>
    <t>Publisko interneta pieejas punktu attīstība</t>
  </si>
  <si>
    <t>Energoauditu atzinumi</t>
  </si>
  <si>
    <t>Energoefektivitātes paaugstināšana Ogres vispārējās pirmsskolas izglītības iestādē „Cīrulītis”</t>
  </si>
  <si>
    <t>05.30004</t>
  </si>
  <si>
    <t>Energoefektivitātes paaugstināšana Ogres vispārējās pirmsskolas izglītības iestādē „Saulīte”</t>
  </si>
  <si>
    <t>05.30005</t>
  </si>
  <si>
    <t>Energoefektivitātes paaugstināšana Ogres vispārējās pirmsskolas izglītības iestādē „Zelta Sietiņš”</t>
  </si>
  <si>
    <t>05.30006</t>
  </si>
  <si>
    <t>Energoefektivitātes paaugstināšana Madlienas vispārējās pirmsskolas izglītības iestādē „Taurenītis”</t>
  </si>
  <si>
    <t>05.30007</t>
  </si>
  <si>
    <t>Energoefektivitātes paaugstināšana Ogres vispārējās pirmsskolas izglītības iestādē „Dzīpariņš”</t>
  </si>
  <si>
    <t>05.30008</t>
  </si>
  <si>
    <t>Energoefektivitātes paaugstināšana Ogres vispārējās pirmsskolas izglītības iestādē „Strautiņš”</t>
  </si>
  <si>
    <t xml:space="preserve">      Īpašumu uzmērīšanai un reģistrēšanai Zemesgrāmatā</t>
  </si>
  <si>
    <t>06.60012</t>
  </si>
  <si>
    <t>KPFI "Siltumnīcefekta gāzu emisijas samazināšana transporta sektorā - atbalsts elektromobiļu un to uzlādes infrastruktūras ieviešanai"</t>
  </si>
  <si>
    <t>Projekts Ķeipenes estrādes būvniecība</t>
  </si>
  <si>
    <t>Taurupes pamatskola</t>
  </si>
  <si>
    <t>09.82002</t>
  </si>
  <si>
    <t xml:space="preserve">         Projekts "Izglītības iestāžu informatizācija" </t>
  </si>
  <si>
    <t>PII infrastruktūras attīstība Ogres novadā (Saulīte)</t>
  </si>
  <si>
    <t>09.82017</t>
  </si>
  <si>
    <t>Vasaras nometnes organizēšanai</t>
  </si>
  <si>
    <t>Pensionāru biedrības darbības atbalstam</t>
  </si>
  <si>
    <t>KPFI "Elektromobīļu uzlādes infrastruktūras ieviešana Ogres pilsētā"</t>
  </si>
  <si>
    <t>06.60013</t>
  </si>
  <si>
    <t>LAD projekts "Kultūras un jaunrades centra izveide Ogres novada Madlienas pagastā''"</t>
  </si>
  <si>
    <t>09.82018</t>
  </si>
  <si>
    <t>Atbalsts jauniešu centru darbības nodrošināš. pašvaldībās ar mērķi īstenot neform. mācīšanās aktivitātes visiem jauniešiem”.Tu to vari"</t>
  </si>
  <si>
    <t>Ikgadējā monitoringa ietvaros izstrādātā jaunatnes politikas indeksa aprēķināšana pašvaldībās jauniešu dzīves kvalitātes novērtēšanai</t>
  </si>
  <si>
    <t>09.82019</t>
  </si>
  <si>
    <t>Ogres sākumskolas projekts ''Vides izglītības dienas nometne ''3 D-Domājošs dabas draugs''</t>
  </si>
  <si>
    <t>09.82020</t>
  </si>
  <si>
    <t>Pašvaldību saņemtie transferti no valsts budžeta daļēji finansētām atvasinātām publiskām personām un no budžeta nefinansētām iestādēm</t>
  </si>
  <si>
    <t>17.2.0.0.</t>
  </si>
  <si>
    <t>08.29010</t>
  </si>
  <si>
    <t>Finansējums Ogres un Ikšķiles PA "Tūrisma, sporta un atpūtas kompleksa "Zilie kalni"attīstības aģentūra"</t>
  </si>
  <si>
    <t>21.4.9.0.</t>
  </si>
  <si>
    <t>Ogres novada pašvaldības 2015.gada budžeta ieņēmumi.</t>
  </si>
  <si>
    <t xml:space="preserve">Ogres un Ogresgala 2015.g. budžets </t>
  </si>
  <si>
    <t>Pašvald. aģentūras "Ogres namsaim- nieks" 2015.g. budžets</t>
  </si>
  <si>
    <t>Pašvald. aģentūras "Kultūras centrs" 2015.g. budžets</t>
  </si>
  <si>
    <t>Suntažu pagasta pārvaldes 2015.g. budžets</t>
  </si>
  <si>
    <t>Lauberes pagasta pārvaldes 2015.g. budžets</t>
  </si>
  <si>
    <t>Ķeipenes pagasta pārvaldes 2015.g. budžets</t>
  </si>
  <si>
    <t>Madlienas pagasta pārvaldes 2015.g. budžets</t>
  </si>
  <si>
    <t>Krapes pagasta pārvaldes 2015.g. budžets</t>
  </si>
  <si>
    <t>Mazozolu pagasta pārvaldes 2015.g. budžets</t>
  </si>
  <si>
    <t>Meņģeles pagasta pārvaldes 2015.g. budžets</t>
  </si>
  <si>
    <t>Taurupes pagasta pārvaldes 2015.g. budžets</t>
  </si>
  <si>
    <t>Ogres novada pašvaldības 2015.g. budžets</t>
  </si>
  <si>
    <t>Citi iepriekš neklasificētie ieņēmumi</t>
  </si>
  <si>
    <t>Budžeta  atl.uz  01. 01. 2015.g.</t>
  </si>
  <si>
    <t>Ogres novada pašvaldības 2015. gada budžeta  izdevumi atbilstoši funkcionālajām kategorijām.</t>
  </si>
  <si>
    <t>01.8301</t>
  </si>
  <si>
    <t xml:space="preserve">       Norēķini ar citu pašvaldību sociālo pakalpojumu iestādēm</t>
  </si>
  <si>
    <t>01.8304</t>
  </si>
  <si>
    <t>Pilsētu mēru pakts CONURBANT</t>
  </si>
  <si>
    <t>04.11110</t>
  </si>
  <si>
    <t xml:space="preserve">Norvēģu finanšu instrumenta projekts ''Lietpratīga pārvaldība un Latvijas pašvaldību veiktspējas uzlabošana'' </t>
  </si>
  <si>
    <t>04.11111</t>
  </si>
  <si>
    <t>Zīmola grafiskā izstrāde</t>
  </si>
  <si>
    <t>04.11112</t>
  </si>
  <si>
    <t>Informatīvi pasākumi uzņēmējiem</t>
  </si>
  <si>
    <t>05.30009</t>
  </si>
  <si>
    <t>Norvēģu finanšu instrumenta projekts "Sacensības "Klimata maratons""</t>
  </si>
  <si>
    <t xml:space="preserve">       Projekts "Veidojam vidi ap mums"</t>
  </si>
  <si>
    <t>06.60014</t>
  </si>
  <si>
    <t>Represēto piemiņas vietas labiekārtošana</t>
  </si>
  <si>
    <t>06.60015</t>
  </si>
  <si>
    <t>Latvijas simtgadei (Karoga masta uzstādīšana)</t>
  </si>
  <si>
    <t xml:space="preserve">      Struktūrvienība "Neptūns"</t>
  </si>
  <si>
    <t xml:space="preserve">      Finansējums struktūrvienībai "Neptūns"</t>
  </si>
  <si>
    <t>08.1003</t>
  </si>
  <si>
    <t>Skeitparka projekts Ogrē (1. kārta)</t>
  </si>
  <si>
    <t>08.29004</t>
  </si>
  <si>
    <t xml:space="preserve">    Dalībai dziesmu un deju svētkos</t>
  </si>
  <si>
    <t>08.29012</t>
  </si>
  <si>
    <t xml:space="preserve">    Vidējās paaudzes deju kolektīvu deju svētkiem Jelgavā</t>
  </si>
  <si>
    <t>08.29011</t>
  </si>
  <si>
    <t>Projektu konkurss (Kultūras, sporta un izglītības pasākumi, mācības, kursi)</t>
  </si>
  <si>
    <t>Finansējums bērniem, kuri apmeklē privātās pirmsskolas izglītūibas iestādes</t>
  </si>
  <si>
    <t>Latvijas Šveices projekts Atbalsts ugunsdrošības pasākumiem pašvaldību vispārējās izglītības iestādēs</t>
  </si>
  <si>
    <t>09.82021</t>
  </si>
  <si>
    <t>Ģimnāzijas projekts "Fiziskās audzināšanas loma skolēnu veselības stiprināšanā"</t>
  </si>
  <si>
    <t>Soc.dienas centra telpu uzturēšanai</t>
  </si>
  <si>
    <t>SIA MS siltums  pamatkapitāla palielināšanai (katlumāju rekonstrukcija)</t>
  </si>
  <si>
    <t>Ogres novada pašvaldības 2015. gada budžeta  izdevumi atbilstoši ekonomiskajām kategorijām.</t>
  </si>
  <si>
    <t>Mācību, darba un dienesta komandējumi, darba braucieni</t>
  </si>
  <si>
    <t>Starptautiskā sadarbība</t>
  </si>
  <si>
    <t xml:space="preserve">Pašvaldību kapitālo izdevumu transferti </t>
  </si>
  <si>
    <t>Pašvald. aģentūras "Rosme" 2015.g. budžets</t>
  </si>
  <si>
    <t>06.60005</t>
  </si>
  <si>
    <t>Jaunatnes politikas valsts programmas projekts Līdzdalība un aktīvs jaunietis Ogres novadā</t>
  </si>
  <si>
    <t>Biedrība "LUX VIRIDIA"</t>
  </si>
  <si>
    <t>10.70012</t>
  </si>
  <si>
    <t>Budžeta nodaļas vadītāja</t>
  </si>
  <si>
    <t>09.820022</t>
  </si>
  <si>
    <t>09.820023</t>
  </si>
  <si>
    <t>KPFI "Siltumnīcefekta gāzu emisiju samazin. Ogres pilsētas publiskās teritorijas apgaismojuma infrastruktūra II kārta", A6 šosejas apjoms</t>
  </si>
  <si>
    <t>KPFI "Siltumnīcefekta gāzu emisiju samazin. Ogres pilsētas publiskās teritorijas apgaismojuma infrastruktūra II kārta," pilsētas teritorijas apjoms</t>
  </si>
  <si>
    <t>Erasmus+ projekta ietvaros Ogres Valsts Ģimnāzijas mobilitātes projekts</t>
  </si>
  <si>
    <t>Kompensācijas, kuras izmaksā personām, pamatojoties uz tiesu nolēmumiem</t>
  </si>
  <si>
    <t>F20010000 AS</t>
  </si>
  <si>
    <t>F20010000 AB</t>
  </si>
  <si>
    <t>PSIA "Labs nams" pamatkapitāls</t>
  </si>
  <si>
    <t>Projekts Daba dziedē-starpvalstu vides nometne Ogres novadā</t>
  </si>
  <si>
    <t>Ģimnāzijas projekts ERASMUS programmas stratēģisko skolu sadarbības partnerību projekts (VĀCIJA)</t>
  </si>
  <si>
    <t>Ģimnāzijas projekts ERASMUS programmas stratēģisko skolu sadarbības partnerību projekts (ČEHIJA)</t>
  </si>
  <si>
    <t>09.820024</t>
  </si>
  <si>
    <t>09.820025</t>
  </si>
  <si>
    <t>09.820026</t>
  </si>
  <si>
    <t>F55 01 00 13</t>
  </si>
  <si>
    <t>F40 02 00 20</t>
  </si>
  <si>
    <t>Pielikums Nr.4</t>
  </si>
  <si>
    <t>Ogres novada pašvaldības</t>
  </si>
  <si>
    <t>Ogres novada pašvaldības 2015.gada speciālā budžeta ieņēmumi.</t>
  </si>
  <si>
    <t>Ogres novada 2007.g. budžets (bez aģentūrām)</t>
  </si>
  <si>
    <t>5.5.3.0.</t>
  </si>
  <si>
    <t>Dabas resursu nodoklis</t>
  </si>
  <si>
    <t>8.6.2.0.</t>
  </si>
  <si>
    <t>Procentu ieņēmumi par kontu atlikumiem</t>
  </si>
  <si>
    <t>12.3.9.0.</t>
  </si>
  <si>
    <t>Citi dažādi nenodokļu ieņēmumi</t>
  </si>
  <si>
    <t xml:space="preserve">18.6.2.0. </t>
  </si>
  <si>
    <t>Pašvaldību saņemtie valsts budžeta transferti noteiktam mērķim</t>
  </si>
  <si>
    <t>F20010000</t>
  </si>
  <si>
    <t>Ogres novada pašvaldības 2015. gada speciālā budžeta  izdevumi atbilstoši funkcionālajām kategorijām.</t>
  </si>
  <si>
    <t>04.200</t>
  </si>
  <si>
    <t>Lauksaimn.,mežsaimn.un zivsaimniecība</t>
  </si>
  <si>
    <t>04.500</t>
  </si>
  <si>
    <t>Transports</t>
  </si>
  <si>
    <t>04.900</t>
  </si>
  <si>
    <t>Pārējā ekonomiskā darbība</t>
  </si>
  <si>
    <t>Atlikums gada beigās</t>
  </si>
  <si>
    <t>Darba samaksa</t>
  </si>
  <si>
    <t>Darba devēja valsts sociālās apdrošināšanas obligātās iemaksas, sociālā rakstura pabalsti un kompensācija</t>
  </si>
  <si>
    <t>Subsīdijas komersantiem, sabiedriskajām org. un citām institūcijām</t>
  </si>
  <si>
    <t>Pašvaldību budžeta uzturēšanas izdevumu transferti</t>
  </si>
  <si>
    <t>_______.2007.g.lēmumam Nr.</t>
  </si>
  <si>
    <t>15.10.2015. Saistošajiem noteikumiem Nr.14/2015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</si>
</sst>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"/>
    <numFmt numFmtId="193" formatCode="0.0000"/>
    <numFmt numFmtId="194" formatCode="0.000"/>
    <numFmt numFmtId="195" formatCode="0.0%"/>
    <numFmt numFmtId="196" formatCode="0.000000000"/>
    <numFmt numFmtId="197" formatCode="0.0000000000"/>
    <numFmt numFmtId="198" formatCode="0.00000000"/>
    <numFmt numFmtId="199" formatCode="0.0000000"/>
    <numFmt numFmtId="200" formatCode="0.000000"/>
    <numFmt numFmtId="201" formatCode="0.00000"/>
    <numFmt numFmtId="202" formatCode="#,##0.0"/>
    <numFmt numFmtId="203" formatCode="_-* #,##0.0_-;\-* #,##0.0_-;_-* &quot;-&quot;??_-;_-@_-"/>
    <numFmt numFmtId="204" formatCode="_-* #,##0_-;\-* #,##0_-;_-* &quot;-&quot;??_-;_-@_-"/>
    <numFmt numFmtId="205" formatCode="_-&quot;Ls&quot;\ * #,##0.0_-;\-&quot;Ls&quot;\ * #,##0.0_-;_-&quot;Ls&quot;\ * &quot;-&quot;??_-;_-@_-"/>
    <numFmt numFmtId="206" formatCode="_-&quot;Ls&quot;\ * #,##0_-;\-&quot;Ls&quot;\ * #,##0_-;_-&quot;Ls&quot;\ * &quot;-&quot;??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."/>
    <numFmt numFmtId="211" formatCode="000000"/>
    <numFmt numFmtId="212" formatCode="dd/mm/yy"/>
    <numFmt numFmtId="213" formatCode="[$€-2]\ #,##0.00_);[Red]\([$€-2]\ #,##0.00\)"/>
    <numFmt numFmtId="214" formatCode="#,##0.000"/>
  </numFmts>
  <fonts count="33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sz val="10"/>
      <name val="RimTimes"/>
      <family val="0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9" borderId="1" applyNumberFormat="0" applyAlignment="0" applyProtection="0"/>
    <xf numFmtId="0" fontId="4" fillId="0" borderId="0" applyNumberFormat="0" applyFill="0" applyBorder="0" applyAlignment="0" applyProtection="0"/>
    <xf numFmtId="0" fontId="22" fillId="20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14" fillId="6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10" fillId="5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/>
    </xf>
    <xf numFmtId="0" fontId="5" fillId="0" borderId="0" xfId="57" applyFont="1" applyFill="1" applyAlignment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54" applyFont="1" applyFill="1" applyBorder="1" applyAlignment="1">
      <alignment vertical="center" wrapText="1"/>
      <protection/>
    </xf>
    <xf numFmtId="0" fontId="6" fillId="0" borderId="13" xfId="5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202" fontId="5" fillId="0" borderId="10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1" fontId="5" fillId="0" borderId="19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wrapText="1"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92" fontId="5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wrapText="1"/>
    </xf>
    <xf numFmtId="3" fontId="5" fillId="0" borderId="3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192" fontId="5" fillId="0" borderId="15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3" fontId="6" fillId="0" borderId="26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right"/>
    </xf>
    <xf numFmtId="0" fontId="5" fillId="0" borderId="31" xfId="0" applyFont="1" applyFill="1" applyBorder="1" applyAlignment="1">
      <alignment wrapText="1"/>
    </xf>
    <xf numFmtId="3" fontId="5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left" wrapText="1"/>
      <protection/>
    </xf>
    <xf numFmtId="0" fontId="5" fillId="0" borderId="25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18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57" applyFont="1" applyFill="1" applyAlignment="1">
      <alignment horizontal="right"/>
      <protection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wrapText="1"/>
    </xf>
    <xf numFmtId="3" fontId="6" fillId="0" borderId="25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/>
    </xf>
    <xf numFmtId="49" fontId="5" fillId="0" borderId="17" xfId="0" applyNumberFormat="1" applyFont="1" applyFill="1" applyBorder="1" applyAlignment="1">
      <alignment horizontal="right" wrapText="1"/>
    </xf>
    <xf numFmtId="49" fontId="6" fillId="0" borderId="20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192" fontId="6" fillId="0" borderId="21" xfId="0" applyNumberFormat="1" applyFont="1" applyFill="1" applyBorder="1" applyAlignment="1">
      <alignment/>
    </xf>
    <xf numFmtId="1" fontId="6" fillId="0" borderId="21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/>
    </xf>
    <xf numFmtId="3" fontId="6" fillId="0" borderId="38" xfId="0" applyNumberFormat="1" applyFont="1" applyFill="1" applyBorder="1" applyAlignment="1">
      <alignment/>
    </xf>
    <xf numFmtId="49" fontId="6" fillId="0" borderId="39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wrapText="1"/>
    </xf>
    <xf numFmtId="1" fontId="5" fillId="0" borderId="39" xfId="0" applyNumberFormat="1" applyFont="1" applyFill="1" applyBorder="1" applyAlignment="1">
      <alignment/>
    </xf>
    <xf numFmtId="192" fontId="5" fillId="0" borderId="31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left" wrapText="1"/>
    </xf>
    <xf numFmtId="192" fontId="5" fillId="0" borderId="25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49" fontId="6" fillId="0" borderId="41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192" fontId="5" fillId="0" borderId="1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192" fontId="6" fillId="0" borderId="10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49" fontId="6" fillId="0" borderId="42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 wrapText="1"/>
    </xf>
    <xf numFmtId="3" fontId="6" fillId="0" borderId="44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wrapText="1"/>
    </xf>
    <xf numFmtId="3" fontId="6" fillId="0" borderId="29" xfId="0" applyNumberFormat="1" applyFont="1" applyFill="1" applyBorder="1" applyAlignment="1">
      <alignment/>
    </xf>
    <xf numFmtId="192" fontId="6" fillId="0" borderId="29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6" fillId="0" borderId="12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wrapText="1"/>
    </xf>
    <xf numFmtId="0" fontId="5" fillId="0" borderId="0" xfId="50" applyFont="1" applyFill="1" applyBorder="1" applyAlignment="1">
      <alignment horizontal="left" wrapText="1"/>
      <protection/>
    </xf>
    <xf numFmtId="3" fontId="31" fillId="0" borderId="0" xfId="0" applyNumberFormat="1" applyFont="1" applyFill="1" applyAlignment="1">
      <alignment/>
    </xf>
    <xf numFmtId="0" fontId="6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6" fillId="0" borderId="24" xfId="0" applyFont="1" applyFill="1" applyBorder="1" applyAlignment="1">
      <alignment horizontal="right"/>
    </xf>
    <xf numFmtId="0" fontId="6" fillId="0" borderId="4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192" fontId="5" fillId="0" borderId="32" xfId="0" applyNumberFormat="1" applyFont="1" applyFill="1" applyBorder="1" applyAlignment="1">
      <alignment/>
    </xf>
    <xf numFmtId="49" fontId="5" fillId="0" borderId="27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3" fontId="5" fillId="0" borderId="0" xfId="0" applyNumberFormat="1" applyFont="1" applyFill="1" applyAlignment="1">
      <alignment horizontal="left"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53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vertical="center" wrapText="1"/>
      <protection/>
    </xf>
    <xf numFmtId="1" fontId="1" fillId="0" borderId="10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1" fontId="1" fillId="0" borderId="31" xfId="0" applyNumberFormat="1" applyFont="1" applyFill="1" applyBorder="1" applyAlignment="1">
      <alignment/>
    </xf>
    <xf numFmtId="1" fontId="5" fillId="0" borderId="31" xfId="0" applyNumberFormat="1" applyFont="1" applyFill="1" applyBorder="1" applyAlignment="1">
      <alignment/>
    </xf>
    <xf numFmtId="3" fontId="5" fillId="0" borderId="15" xfId="0" applyNumberFormat="1" applyFont="1" applyFill="1" applyBorder="1" applyAlignment="1" applyProtection="1">
      <alignment horizontal="center"/>
      <protection/>
    </xf>
    <xf numFmtId="3" fontId="28" fillId="0" borderId="0" xfId="0" applyNumberFormat="1" applyFont="1" applyFill="1" applyAlignment="1">
      <alignment/>
    </xf>
    <xf numFmtId="3" fontId="6" fillId="0" borderId="48" xfId="0" applyNumberFormat="1" applyFont="1" applyFill="1" applyBorder="1" applyAlignment="1">
      <alignment/>
    </xf>
    <xf numFmtId="1" fontId="6" fillId="0" borderId="49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5" fillId="0" borderId="18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28" fillId="0" borderId="1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49" xfId="0" applyFont="1" applyFill="1" applyBorder="1" applyAlignment="1">
      <alignment wrapText="1"/>
    </xf>
    <xf numFmtId="0" fontId="7" fillId="0" borderId="21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/>
      <protection/>
    </xf>
    <xf numFmtId="3" fontId="6" fillId="0" borderId="55" xfId="0" applyNumberFormat="1" applyFont="1" applyFill="1" applyBorder="1" applyAlignment="1">
      <alignment/>
    </xf>
    <xf numFmtId="0" fontId="5" fillId="0" borderId="49" xfId="0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0" fontId="27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3" fontId="6" fillId="0" borderId="22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0" fillId="0" borderId="56" xfId="0" applyFont="1" applyFill="1" applyBorder="1" applyAlignment="1">
      <alignment horizontal="center" wrapText="1"/>
    </xf>
    <xf numFmtId="0" fontId="5" fillId="0" borderId="0" xfId="51" applyFont="1" applyFill="1">
      <alignment/>
      <protection/>
    </xf>
    <xf numFmtId="3" fontId="5" fillId="0" borderId="0" xfId="51" applyNumberFormat="1" applyFont="1" applyFill="1" applyAlignment="1">
      <alignment wrapText="1"/>
      <protection/>
    </xf>
    <xf numFmtId="0" fontId="5" fillId="0" borderId="0" xfId="58" applyFont="1" applyFill="1" applyAlignment="1">
      <alignment horizontal="left"/>
      <protection/>
    </xf>
    <xf numFmtId="0" fontId="6" fillId="0" borderId="0" xfId="51" applyFont="1" applyFill="1">
      <alignment/>
      <protection/>
    </xf>
    <xf numFmtId="0" fontId="5" fillId="0" borderId="0" xfId="51" applyFont="1" applyFill="1" applyAlignment="1">
      <alignment horizontal="left"/>
      <protection/>
    </xf>
    <xf numFmtId="0" fontId="30" fillId="0" borderId="0" xfId="51" applyFont="1" applyFill="1" applyAlignment="1">
      <alignment/>
      <protection/>
    </xf>
    <xf numFmtId="0" fontId="28" fillId="0" borderId="0" xfId="51" applyFont="1" applyFill="1">
      <alignment/>
      <protection/>
    </xf>
    <xf numFmtId="0" fontId="5" fillId="0" borderId="0" xfId="51" applyFont="1" applyFill="1" applyAlignment="1">
      <alignment horizontal="left" wrapText="1"/>
      <protection/>
    </xf>
    <xf numFmtId="0" fontId="26" fillId="0" borderId="11" xfId="51" applyFont="1" applyFill="1" applyBorder="1" applyAlignment="1">
      <alignment horizontal="center" vertical="center"/>
      <protection/>
    </xf>
    <xf numFmtId="0" fontId="26" fillId="0" borderId="12" xfId="51" applyFont="1" applyFill="1" applyBorder="1" applyAlignment="1" applyProtection="1">
      <alignment horizontal="center" vertical="center" wrapText="1"/>
      <protection/>
    </xf>
    <xf numFmtId="0" fontId="26" fillId="0" borderId="12" xfId="51" applyFont="1" applyFill="1" applyBorder="1" applyAlignment="1" applyProtection="1">
      <alignment horizontal="center" vertical="top" wrapText="1"/>
      <protection/>
    </xf>
    <xf numFmtId="0" fontId="5" fillId="0" borderId="12" xfId="52" applyFont="1" applyFill="1" applyBorder="1" applyAlignment="1" applyProtection="1">
      <alignment horizontal="center" vertical="center" wrapText="1"/>
      <protection/>
    </xf>
    <xf numFmtId="0" fontId="5" fillId="0" borderId="46" xfId="53" applyFont="1" applyBorder="1" applyAlignment="1">
      <alignment vertical="center" wrapText="1"/>
      <protection/>
    </xf>
    <xf numFmtId="0" fontId="5" fillId="0" borderId="12" xfId="53" applyFont="1" applyFill="1" applyBorder="1" applyAlignment="1">
      <alignment vertical="center" wrapText="1"/>
      <protection/>
    </xf>
    <xf numFmtId="0" fontId="5" fillId="0" borderId="12" xfId="55" applyFont="1" applyFill="1" applyBorder="1" applyAlignment="1">
      <alignment vertical="center" wrapText="1"/>
      <protection/>
    </xf>
    <xf numFmtId="0" fontId="5" fillId="0" borderId="24" xfId="55" applyFont="1" applyFill="1" applyBorder="1" applyAlignment="1">
      <alignment vertical="center" wrapText="1"/>
      <protection/>
    </xf>
    <xf numFmtId="0" fontId="6" fillId="0" borderId="13" xfId="51" applyFont="1" applyFill="1" applyBorder="1" applyAlignment="1" applyProtection="1">
      <alignment horizontal="center" vertical="center" wrapText="1"/>
      <protection/>
    </xf>
    <xf numFmtId="0" fontId="6" fillId="0" borderId="14" xfId="51" applyFont="1" applyFill="1" applyBorder="1" applyAlignment="1">
      <alignment horizontal="right"/>
      <protection/>
    </xf>
    <xf numFmtId="0" fontId="6" fillId="0" borderId="15" xfId="51" applyFont="1" applyFill="1" applyBorder="1" applyAlignment="1">
      <alignment wrapText="1"/>
      <protection/>
    </xf>
    <xf numFmtId="3" fontId="6" fillId="0" borderId="15" xfId="51" applyNumberFormat="1" applyFont="1" applyFill="1" applyBorder="1">
      <alignment/>
      <protection/>
    </xf>
    <xf numFmtId="3" fontId="6" fillId="0" borderId="16" xfId="51" applyNumberFormat="1" applyFont="1" applyFill="1" applyBorder="1">
      <alignment/>
      <protection/>
    </xf>
    <xf numFmtId="192" fontId="5" fillId="0" borderId="0" xfId="51" applyNumberFormat="1" applyFont="1" applyFill="1">
      <alignment/>
      <protection/>
    </xf>
    <xf numFmtId="0" fontId="5" fillId="0" borderId="17" xfId="51" applyFont="1" applyFill="1" applyBorder="1" applyAlignment="1">
      <alignment horizontal="left"/>
      <protection/>
    </xf>
    <xf numFmtId="0" fontId="5" fillId="0" borderId="10" xfId="51" applyFont="1" applyFill="1" applyBorder="1" applyAlignment="1">
      <alignment wrapText="1"/>
      <protection/>
    </xf>
    <xf numFmtId="3" fontId="5" fillId="0" borderId="10" xfId="51" applyNumberFormat="1" applyFont="1" applyFill="1" applyBorder="1">
      <alignment/>
      <protection/>
    </xf>
    <xf numFmtId="3" fontId="5" fillId="0" borderId="16" xfId="51" applyNumberFormat="1" applyFont="1" applyFill="1" applyBorder="1">
      <alignment/>
      <protection/>
    </xf>
    <xf numFmtId="0" fontId="6" fillId="0" borderId="17" xfId="51" applyFont="1" applyFill="1" applyBorder="1" applyAlignment="1">
      <alignment horizontal="right"/>
      <protection/>
    </xf>
    <xf numFmtId="0" fontId="6" fillId="0" borderId="10" xfId="51" applyFont="1" applyFill="1" applyBorder="1" applyAlignment="1">
      <alignment wrapText="1"/>
      <protection/>
    </xf>
    <xf numFmtId="3" fontId="6" fillId="0" borderId="10" xfId="51" applyNumberFormat="1" applyFont="1" applyFill="1" applyBorder="1">
      <alignment/>
      <protection/>
    </xf>
    <xf numFmtId="3" fontId="6" fillId="0" borderId="18" xfId="51" applyNumberFormat="1" applyFont="1" applyFill="1" applyBorder="1">
      <alignment/>
      <protection/>
    </xf>
    <xf numFmtId="1" fontId="5" fillId="0" borderId="19" xfId="51" applyNumberFormat="1" applyFont="1" applyFill="1" applyBorder="1">
      <alignment/>
      <protection/>
    </xf>
    <xf numFmtId="192" fontId="5" fillId="0" borderId="10" xfId="51" applyNumberFormat="1" applyFont="1" applyFill="1" applyBorder="1">
      <alignment/>
      <protection/>
    </xf>
    <xf numFmtId="0" fontId="5" fillId="0" borderId="10" xfId="51" applyFont="1" applyFill="1" applyBorder="1">
      <alignment/>
      <protection/>
    </xf>
    <xf numFmtId="0" fontId="5" fillId="0" borderId="18" xfId="51" applyFont="1" applyFill="1" applyBorder="1">
      <alignment/>
      <protection/>
    </xf>
    <xf numFmtId="0" fontId="6" fillId="0" borderId="17" xfId="51" applyFont="1" applyFill="1" applyBorder="1" applyAlignment="1">
      <alignment horizontal="left"/>
      <protection/>
    </xf>
    <xf numFmtId="1" fontId="6" fillId="0" borderId="10" xfId="51" applyNumberFormat="1" applyFont="1" applyFill="1" applyBorder="1">
      <alignment/>
      <protection/>
    </xf>
    <xf numFmtId="1" fontId="6" fillId="0" borderId="26" xfId="51" applyNumberFormat="1" applyFont="1" applyFill="1" applyBorder="1">
      <alignment/>
      <protection/>
    </xf>
    <xf numFmtId="192" fontId="6" fillId="0" borderId="18" xfId="51" applyNumberFormat="1" applyFont="1" applyFill="1" applyBorder="1">
      <alignment/>
      <protection/>
    </xf>
    <xf numFmtId="0" fontId="6" fillId="0" borderId="18" xfId="51" applyFont="1" applyFill="1" applyBorder="1">
      <alignment/>
      <protection/>
    </xf>
    <xf numFmtId="0" fontId="6" fillId="0" borderId="10" xfId="51" applyFont="1" applyFill="1" applyBorder="1">
      <alignment/>
      <protection/>
    </xf>
    <xf numFmtId="0" fontId="6" fillId="0" borderId="10" xfId="52" applyFont="1" applyFill="1" applyBorder="1" applyAlignment="1">
      <alignment wrapText="1"/>
      <protection/>
    </xf>
    <xf numFmtId="0" fontId="5" fillId="0" borderId="17" xfId="51" applyFont="1" applyFill="1" applyBorder="1" applyAlignment="1">
      <alignment horizontal="right"/>
      <protection/>
    </xf>
    <xf numFmtId="3" fontId="6" fillId="0" borderId="19" xfId="51" applyNumberFormat="1" applyFont="1" applyFill="1" applyBorder="1">
      <alignment/>
      <protection/>
    </xf>
    <xf numFmtId="1" fontId="5" fillId="0" borderId="10" xfId="51" applyNumberFormat="1" applyFont="1" applyFill="1" applyBorder="1">
      <alignment/>
      <protection/>
    </xf>
    <xf numFmtId="0" fontId="5" fillId="0" borderId="20" xfId="51" applyFont="1" applyFill="1" applyBorder="1" applyAlignment="1">
      <alignment horizontal="right"/>
      <protection/>
    </xf>
    <xf numFmtId="0" fontId="5" fillId="0" borderId="21" xfId="51" applyFont="1" applyFill="1" applyBorder="1" applyAlignment="1">
      <alignment wrapText="1"/>
      <protection/>
    </xf>
    <xf numFmtId="3" fontId="5" fillId="0" borderId="21" xfId="51" applyNumberFormat="1" applyFont="1" applyFill="1" applyBorder="1">
      <alignment/>
      <protection/>
    </xf>
    <xf numFmtId="1" fontId="5" fillId="0" borderId="57" xfId="51" applyNumberFormat="1" applyFont="1" applyFill="1" applyBorder="1">
      <alignment/>
      <protection/>
    </xf>
    <xf numFmtId="1" fontId="5" fillId="0" borderId="21" xfId="51" applyNumberFormat="1" applyFont="1" applyFill="1" applyBorder="1">
      <alignment/>
      <protection/>
    </xf>
    <xf numFmtId="0" fontId="5" fillId="0" borderId="21" xfId="51" applyFont="1" applyFill="1" applyBorder="1">
      <alignment/>
      <protection/>
    </xf>
    <xf numFmtId="0" fontId="5" fillId="0" borderId="22" xfId="51" applyFont="1" applyFill="1" applyBorder="1">
      <alignment/>
      <protection/>
    </xf>
    <xf numFmtId="3" fontId="5" fillId="0" borderId="23" xfId="51" applyNumberFormat="1" applyFont="1" applyFill="1" applyBorder="1">
      <alignment/>
      <protection/>
    </xf>
    <xf numFmtId="0" fontId="5" fillId="0" borderId="11" xfId="51" applyFont="1" applyFill="1" applyBorder="1" applyAlignment="1">
      <alignment horizontal="right"/>
      <protection/>
    </xf>
    <xf numFmtId="0" fontId="6" fillId="0" borderId="12" xfId="51" applyFont="1" applyFill="1" applyBorder="1" applyAlignment="1">
      <alignment horizontal="right" wrapText="1"/>
      <protection/>
    </xf>
    <xf numFmtId="3" fontId="6" fillId="0" borderId="12" xfId="51" applyNumberFormat="1" applyFont="1" applyFill="1" applyBorder="1" applyAlignment="1">
      <alignment horizontal="right" indent="1"/>
      <protection/>
    </xf>
    <xf numFmtId="3" fontId="6" fillId="0" borderId="12" xfId="51" applyNumberFormat="1" applyFont="1" applyFill="1" applyBorder="1" applyAlignment="1">
      <alignment horizontal="center"/>
      <protection/>
    </xf>
    <xf numFmtId="3" fontId="6" fillId="0" borderId="13" xfId="51" applyNumberFormat="1" applyFont="1" applyFill="1" applyBorder="1">
      <alignment/>
      <protection/>
    </xf>
    <xf numFmtId="0" fontId="5" fillId="0" borderId="15" xfId="51" applyFont="1" applyFill="1" applyBorder="1" applyProtection="1">
      <alignment/>
      <protection/>
    </xf>
    <xf numFmtId="0" fontId="5" fillId="0" borderId="15" xfId="51" applyFont="1" applyFill="1" applyBorder="1" applyAlignment="1" applyProtection="1">
      <alignment horizontal="left" wrapText="1"/>
      <protection/>
    </xf>
    <xf numFmtId="3" fontId="5" fillId="0" borderId="15" xfId="51" applyNumberFormat="1" applyFont="1" applyFill="1" applyBorder="1" applyProtection="1">
      <alignment/>
      <protection/>
    </xf>
    <xf numFmtId="3" fontId="5" fillId="0" borderId="15" xfId="51" applyNumberFormat="1" applyFont="1" applyFill="1" applyBorder="1" applyAlignment="1" applyProtection="1">
      <alignment horizontal="center"/>
      <protection/>
    </xf>
    <xf numFmtId="0" fontId="6" fillId="0" borderId="10" xfId="51" applyFont="1" applyFill="1" applyBorder="1" applyProtection="1">
      <alignment/>
      <protection/>
    </xf>
    <xf numFmtId="0" fontId="5" fillId="0" borderId="10" xfId="51" applyFont="1" applyFill="1" applyBorder="1" applyAlignment="1" applyProtection="1">
      <alignment horizontal="left" wrapText="1"/>
      <protection/>
    </xf>
    <xf numFmtId="3" fontId="6" fillId="0" borderId="10" xfId="51" applyNumberFormat="1" applyFont="1" applyFill="1" applyBorder="1" applyProtection="1">
      <alignment/>
      <protection/>
    </xf>
    <xf numFmtId="3" fontId="6" fillId="0" borderId="10" xfId="51" applyNumberFormat="1" applyFont="1" applyFill="1" applyBorder="1" applyAlignment="1" applyProtection="1">
      <alignment horizontal="center"/>
      <protection/>
    </xf>
    <xf numFmtId="0" fontId="5" fillId="0" borderId="0" xfId="51" applyFont="1" applyFill="1" applyAlignment="1">
      <alignment wrapText="1"/>
      <protection/>
    </xf>
    <xf numFmtId="3" fontId="5" fillId="0" borderId="0" xfId="51" applyNumberFormat="1" applyFont="1" applyFill="1">
      <alignment/>
      <protection/>
    </xf>
    <xf numFmtId="0" fontId="1" fillId="0" borderId="0" xfId="56" applyFont="1">
      <alignment/>
      <protection/>
    </xf>
    <xf numFmtId="0" fontId="30" fillId="0" borderId="56" xfId="51" applyFont="1" applyFill="1" applyBorder="1" applyAlignment="1">
      <alignment horizontal="center" wrapText="1"/>
      <protection/>
    </xf>
    <xf numFmtId="0" fontId="5" fillId="0" borderId="24" xfId="52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2" xfId="53" applyFont="1" applyBorder="1" applyAlignment="1">
      <alignment vertical="center" wrapText="1"/>
      <protection/>
    </xf>
    <xf numFmtId="49" fontId="6" fillId="0" borderId="11" xfId="51" applyNumberFormat="1" applyFont="1" applyFill="1" applyBorder="1" applyAlignment="1">
      <alignment horizontal="left"/>
      <protection/>
    </xf>
    <xf numFmtId="0" fontId="6" fillId="0" borderId="12" xfId="51" applyFont="1" applyFill="1" applyBorder="1" applyAlignment="1">
      <alignment wrapText="1"/>
      <protection/>
    </xf>
    <xf numFmtId="3" fontId="6" fillId="0" borderId="24" xfId="51" applyNumberFormat="1" applyFont="1" applyFill="1" applyBorder="1">
      <alignment/>
      <protection/>
    </xf>
    <xf numFmtId="49" fontId="5" fillId="0" borderId="58" xfId="51" applyNumberFormat="1" applyFont="1" applyFill="1" applyBorder="1" applyAlignment="1">
      <alignment horizontal="right"/>
      <protection/>
    </xf>
    <xf numFmtId="3" fontId="5" fillId="0" borderId="59" xfId="51" applyNumberFormat="1" applyFont="1" applyFill="1" applyBorder="1">
      <alignment/>
      <protection/>
    </xf>
    <xf numFmtId="3" fontId="5" fillId="0" borderId="60" xfId="51" applyNumberFormat="1" applyFont="1" applyFill="1" applyBorder="1">
      <alignment/>
      <protection/>
    </xf>
    <xf numFmtId="3" fontId="5" fillId="0" borderId="61" xfId="51" applyNumberFormat="1" applyFont="1" applyFill="1" applyBorder="1">
      <alignment/>
      <protection/>
    </xf>
    <xf numFmtId="0" fontId="5" fillId="0" borderId="62" xfId="55" applyFont="1" applyFill="1" applyBorder="1" applyAlignment="1">
      <alignment vertical="center" wrapText="1"/>
      <protection/>
    </xf>
    <xf numFmtId="3" fontId="5" fillId="0" borderId="35" xfId="51" applyNumberFormat="1" applyFont="1" applyFill="1" applyBorder="1">
      <alignment/>
      <protection/>
    </xf>
    <xf numFmtId="49" fontId="5" fillId="0" borderId="17" xfId="51" applyNumberFormat="1" applyFont="1" applyFill="1" applyBorder="1" applyAlignment="1">
      <alignment horizontal="right"/>
      <protection/>
    </xf>
    <xf numFmtId="3" fontId="5" fillId="0" borderId="18" xfId="51" applyNumberFormat="1" applyFont="1" applyFill="1" applyBorder="1">
      <alignment/>
      <protection/>
    </xf>
    <xf numFmtId="3" fontId="5" fillId="0" borderId="19" xfId="51" applyNumberFormat="1" applyFont="1" applyFill="1" applyBorder="1">
      <alignment/>
      <protection/>
    </xf>
    <xf numFmtId="0" fontId="5" fillId="0" borderId="26" xfId="55" applyFont="1" applyFill="1" applyBorder="1" applyAlignment="1">
      <alignment vertical="center" wrapText="1"/>
      <protection/>
    </xf>
    <xf numFmtId="3" fontId="5" fillId="0" borderId="36" xfId="51" applyNumberFormat="1" applyFont="1" applyFill="1" applyBorder="1">
      <alignment/>
      <protection/>
    </xf>
    <xf numFmtId="49" fontId="5" fillId="0" borderId="42" xfId="51" applyNumberFormat="1" applyFont="1" applyFill="1" applyBorder="1" applyAlignment="1">
      <alignment horizontal="right"/>
      <protection/>
    </xf>
    <xf numFmtId="0" fontId="5" fillId="0" borderId="43" xfId="51" applyFont="1" applyFill="1" applyBorder="1" applyAlignment="1">
      <alignment wrapText="1"/>
      <protection/>
    </xf>
    <xf numFmtId="3" fontId="5" fillId="0" borderId="44" xfId="51" applyNumberFormat="1" applyFont="1" applyFill="1" applyBorder="1">
      <alignment/>
      <protection/>
    </xf>
    <xf numFmtId="3" fontId="5" fillId="0" borderId="43" xfId="51" applyNumberFormat="1" applyFont="1" applyFill="1" applyBorder="1">
      <alignment/>
      <protection/>
    </xf>
    <xf numFmtId="3" fontId="5" fillId="0" borderId="63" xfId="51" applyNumberFormat="1" applyFont="1" applyFill="1" applyBorder="1">
      <alignment/>
      <protection/>
    </xf>
    <xf numFmtId="0" fontId="5" fillId="0" borderId="56" xfId="55" applyFont="1" applyFill="1" applyBorder="1" applyAlignment="1">
      <alignment vertical="center" wrapText="1"/>
      <protection/>
    </xf>
    <xf numFmtId="0" fontId="6" fillId="0" borderId="12" xfId="51" applyFont="1" applyFill="1" applyBorder="1" applyAlignment="1">
      <alignment horizontal="left" wrapText="1"/>
      <protection/>
    </xf>
    <xf numFmtId="0" fontId="5" fillId="0" borderId="60" xfId="51" applyFont="1" applyFill="1" applyBorder="1" applyAlignment="1">
      <alignment horizontal="left" wrapText="1"/>
      <protection/>
    </xf>
    <xf numFmtId="3" fontId="5" fillId="0" borderId="29" xfId="51" applyNumberFormat="1" applyFont="1" applyFill="1" applyBorder="1">
      <alignment/>
      <protection/>
    </xf>
    <xf numFmtId="0" fontId="5" fillId="0" borderId="10" xfId="51" applyFont="1" applyFill="1" applyBorder="1" applyAlignment="1">
      <alignment horizontal="left" wrapText="1"/>
      <protection/>
    </xf>
    <xf numFmtId="0" fontId="5" fillId="0" borderId="43" xfId="51" applyFont="1" applyFill="1" applyBorder="1" applyAlignment="1">
      <alignment horizontal="left" wrapText="1"/>
      <protection/>
    </xf>
    <xf numFmtId="49" fontId="6" fillId="0" borderId="58" xfId="51" applyNumberFormat="1" applyFont="1" applyFill="1" applyBorder="1" applyAlignment="1">
      <alignment horizontal="left"/>
      <protection/>
    </xf>
    <xf numFmtId="0" fontId="6" fillId="0" borderId="60" xfId="51" applyFont="1" applyFill="1" applyBorder="1" applyAlignment="1">
      <alignment horizontal="left" wrapText="1"/>
      <protection/>
    </xf>
    <xf numFmtId="3" fontId="6" fillId="0" borderId="59" xfId="51" applyNumberFormat="1" applyFont="1" applyFill="1" applyBorder="1">
      <alignment/>
      <protection/>
    </xf>
    <xf numFmtId="3" fontId="6" fillId="0" borderId="60" xfId="51" applyNumberFormat="1" applyFont="1" applyFill="1" applyBorder="1">
      <alignment/>
      <protection/>
    </xf>
    <xf numFmtId="3" fontId="6" fillId="0" borderId="62" xfId="51" applyNumberFormat="1" applyFont="1" applyFill="1" applyBorder="1">
      <alignment/>
      <protection/>
    </xf>
    <xf numFmtId="3" fontId="6" fillId="0" borderId="35" xfId="51" applyNumberFormat="1" applyFont="1" applyFill="1" applyBorder="1">
      <alignment/>
      <protection/>
    </xf>
    <xf numFmtId="49" fontId="5" fillId="0" borderId="28" xfId="52" applyNumberFormat="1" applyFont="1" applyFill="1" applyBorder="1" applyAlignment="1">
      <alignment horizontal="right"/>
      <protection/>
    </xf>
    <xf numFmtId="0" fontId="5" fillId="0" borderId="29" xfId="52" applyFont="1" applyFill="1" applyBorder="1" applyAlignment="1">
      <alignment horizontal="left" wrapText="1"/>
      <protection/>
    </xf>
    <xf numFmtId="3" fontId="5" fillId="0" borderId="38" xfId="51" applyNumberFormat="1" applyFont="1" applyFill="1" applyBorder="1">
      <alignment/>
      <protection/>
    </xf>
    <xf numFmtId="49" fontId="5" fillId="0" borderId="14" xfId="52" applyNumberFormat="1" applyFont="1" applyFill="1" applyBorder="1" applyAlignment="1">
      <alignment horizontal="right"/>
      <protection/>
    </xf>
    <xf numFmtId="0" fontId="5" fillId="0" borderId="15" xfId="52" applyFont="1" applyFill="1" applyBorder="1" applyAlignment="1">
      <alignment horizontal="left" wrapText="1"/>
      <protection/>
    </xf>
    <xf numFmtId="3" fontId="5" fillId="0" borderId="49" xfId="51" applyNumberFormat="1" applyFont="1" applyFill="1" applyBorder="1">
      <alignment/>
      <protection/>
    </xf>
    <xf numFmtId="0" fontId="5" fillId="0" borderId="11" xfId="51" applyFont="1" applyFill="1" applyBorder="1">
      <alignment/>
      <protection/>
    </xf>
    <xf numFmtId="3" fontId="6" fillId="0" borderId="12" xfId="51" applyNumberFormat="1" applyFont="1" applyFill="1" applyBorder="1" applyAlignment="1">
      <alignment wrapText="1"/>
      <protection/>
    </xf>
    <xf numFmtId="0" fontId="6" fillId="0" borderId="0" xfId="56" applyFont="1" applyBorder="1" applyProtection="1">
      <alignment/>
      <protection/>
    </xf>
    <xf numFmtId="0" fontId="6" fillId="0" borderId="0" xfId="56" applyFont="1" applyBorder="1" applyAlignment="1">
      <alignment wrapText="1"/>
      <protection/>
    </xf>
    <xf numFmtId="3" fontId="5" fillId="0" borderId="0" xfId="51" applyNumberFormat="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0" xfId="51" applyFont="1">
      <alignment/>
      <protection/>
    </xf>
    <xf numFmtId="3" fontId="6" fillId="0" borderId="0" xfId="51" applyNumberFormat="1" applyFont="1" applyFill="1">
      <alignment/>
      <protection/>
    </xf>
    <xf numFmtId="0" fontId="5" fillId="0" borderId="0" xfId="51" applyFont="1" applyFill="1" applyBorder="1" applyAlignment="1">
      <alignment wrapText="1"/>
      <protection/>
    </xf>
    <xf numFmtId="3" fontId="5" fillId="0" borderId="0" xfId="51" applyNumberFormat="1" applyFont="1" applyFill="1" applyBorder="1">
      <alignment/>
      <protection/>
    </xf>
    <xf numFmtId="49" fontId="5" fillId="0" borderId="0" xfId="52" applyNumberFormat="1" applyFont="1" applyFill="1" applyAlignment="1">
      <alignment horizontal="center" wrapText="1"/>
      <protection/>
    </xf>
    <xf numFmtId="0" fontId="5" fillId="0" borderId="0" xfId="51" applyFont="1" applyFill="1" applyBorder="1" applyAlignment="1">
      <alignment horizontal="left" wrapText="1"/>
      <protection/>
    </xf>
    <xf numFmtId="3" fontId="6" fillId="0" borderId="0" xfId="51" applyNumberFormat="1" applyFont="1" applyBorder="1">
      <alignment/>
      <protection/>
    </xf>
    <xf numFmtId="3" fontId="6" fillId="0" borderId="0" xfId="51" applyNumberFormat="1" applyFont="1" applyFill="1" applyBorder="1">
      <alignment/>
      <protection/>
    </xf>
    <xf numFmtId="0" fontId="30" fillId="0" borderId="56" xfId="51" applyFont="1" applyBorder="1" applyAlignment="1">
      <alignment horizontal="center" wrapText="1"/>
      <protection/>
    </xf>
    <xf numFmtId="0" fontId="6" fillId="0" borderId="28" xfId="51" applyFont="1" applyBorder="1" applyAlignment="1">
      <alignment horizontal="left"/>
      <protection/>
    </xf>
    <xf numFmtId="0" fontId="6" fillId="0" borderId="29" xfId="51" applyFont="1" applyBorder="1" applyAlignment="1">
      <alignment wrapText="1"/>
      <protection/>
    </xf>
    <xf numFmtId="0" fontId="6" fillId="0" borderId="29" xfId="51" applyFont="1" applyBorder="1">
      <alignment/>
      <protection/>
    </xf>
    <xf numFmtId="3" fontId="6" fillId="0" borderId="29" xfId="51" applyNumberFormat="1" applyFont="1" applyFill="1" applyBorder="1">
      <alignment/>
      <protection/>
    </xf>
    <xf numFmtId="3" fontId="6" fillId="0" borderId="34" xfId="51" applyNumberFormat="1" applyFont="1" applyFill="1" applyBorder="1">
      <alignment/>
      <protection/>
    </xf>
    <xf numFmtId="0" fontId="6" fillId="0" borderId="20" xfId="51" applyFont="1" applyBorder="1" applyAlignment="1">
      <alignment horizontal="left"/>
      <protection/>
    </xf>
    <xf numFmtId="0" fontId="6" fillId="0" borderId="21" xfId="51" applyFont="1" applyBorder="1" applyAlignment="1">
      <alignment wrapText="1"/>
      <protection/>
    </xf>
    <xf numFmtId="0" fontId="6" fillId="0" borderId="21" xfId="51" applyFont="1" applyBorder="1">
      <alignment/>
      <protection/>
    </xf>
    <xf numFmtId="3" fontId="6" fillId="0" borderId="21" xfId="51" applyNumberFormat="1" applyFont="1" applyFill="1" applyBorder="1">
      <alignment/>
      <protection/>
    </xf>
    <xf numFmtId="3" fontId="6" fillId="0" borderId="22" xfId="51" applyNumberFormat="1" applyFont="1" applyFill="1" applyBorder="1">
      <alignment/>
      <protection/>
    </xf>
    <xf numFmtId="3" fontId="6" fillId="0" borderId="64" xfId="51" applyNumberFormat="1" applyFont="1" applyFill="1" applyBorder="1">
      <alignment/>
      <protection/>
    </xf>
    <xf numFmtId="0" fontId="6" fillId="0" borderId="11" xfId="51" applyFont="1" applyBorder="1" applyAlignment="1">
      <alignment horizontal="left"/>
      <protection/>
    </xf>
    <xf numFmtId="0" fontId="6" fillId="0" borderId="12" xfId="51" applyFont="1" applyBorder="1" applyAlignment="1">
      <alignment wrapText="1"/>
      <protection/>
    </xf>
    <xf numFmtId="0" fontId="6" fillId="0" borderId="12" xfId="51" applyFont="1" applyBorder="1">
      <alignment/>
      <protection/>
    </xf>
    <xf numFmtId="3" fontId="6" fillId="0" borderId="12" xfId="51" applyNumberFormat="1" applyFont="1" applyFill="1" applyBorder="1">
      <alignment/>
      <protection/>
    </xf>
    <xf numFmtId="0" fontId="6" fillId="0" borderId="14" xfId="51" applyFont="1" applyBorder="1" applyAlignment="1">
      <alignment horizontal="left"/>
      <protection/>
    </xf>
    <xf numFmtId="0" fontId="6" fillId="0" borderId="15" xfId="51" applyFont="1" applyBorder="1" applyAlignment="1">
      <alignment wrapText="1"/>
      <protection/>
    </xf>
    <xf numFmtId="0" fontId="6" fillId="0" borderId="15" xfId="51" applyFont="1" applyBorder="1">
      <alignment/>
      <protection/>
    </xf>
    <xf numFmtId="3" fontId="6" fillId="0" borderId="15" xfId="51" applyNumberFormat="1" applyFont="1" applyBorder="1">
      <alignment/>
      <protection/>
    </xf>
    <xf numFmtId="3" fontId="6" fillId="0" borderId="25" xfId="51" applyNumberFormat="1" applyFont="1" applyBorder="1">
      <alignment/>
      <protection/>
    </xf>
    <xf numFmtId="0" fontId="6" fillId="0" borderId="17" xfId="51" applyFont="1" applyBorder="1" applyAlignment="1">
      <alignment horizontal="left"/>
      <protection/>
    </xf>
    <xf numFmtId="0" fontId="6" fillId="0" borderId="10" xfId="51" applyFont="1" applyBorder="1" applyAlignment="1">
      <alignment wrapText="1"/>
      <protection/>
    </xf>
    <xf numFmtId="0" fontId="6" fillId="0" borderId="10" xfId="51" applyFont="1" applyBorder="1">
      <alignment/>
      <protection/>
    </xf>
    <xf numFmtId="3" fontId="6" fillId="0" borderId="36" xfId="51" applyNumberFormat="1" applyFont="1" applyFill="1" applyBorder="1">
      <alignment/>
      <protection/>
    </xf>
    <xf numFmtId="3" fontId="6" fillId="0" borderId="36" xfId="51" applyNumberFormat="1" applyFont="1" applyBorder="1">
      <alignment/>
      <protection/>
    </xf>
    <xf numFmtId="0" fontId="6" fillId="0" borderId="31" xfId="51" applyFont="1" applyBorder="1" applyAlignment="1">
      <alignment wrapText="1"/>
      <protection/>
    </xf>
    <xf numFmtId="0" fontId="6" fillId="0" borderId="31" xfId="51" applyFont="1" applyBorder="1">
      <alignment/>
      <protection/>
    </xf>
    <xf numFmtId="3" fontId="6" fillId="0" borderId="53" xfId="58" applyNumberFormat="1" applyFont="1" applyBorder="1" applyAlignment="1">
      <alignment horizontal="right" wrapText="1"/>
      <protection/>
    </xf>
    <xf numFmtId="3" fontId="6" fillId="0" borderId="31" xfId="51" applyNumberFormat="1" applyFont="1" applyFill="1" applyBorder="1">
      <alignment/>
      <protection/>
    </xf>
    <xf numFmtId="3" fontId="6" fillId="0" borderId="32" xfId="51" applyNumberFormat="1" applyFont="1" applyFill="1" applyBorder="1">
      <alignment/>
      <protection/>
    </xf>
    <xf numFmtId="0" fontId="5" fillId="0" borderId="11" xfId="51" applyFont="1" applyBorder="1">
      <alignment/>
      <protection/>
    </xf>
    <xf numFmtId="0" fontId="6" fillId="0" borderId="12" xfId="51" applyFont="1" applyBorder="1" applyAlignment="1">
      <alignment horizontal="right"/>
      <protection/>
    </xf>
    <xf numFmtId="3" fontId="5" fillId="0" borderId="0" xfId="51" applyNumberFormat="1" applyFont="1" applyBorder="1" applyAlignment="1">
      <alignment horizontal="right" wrapText="1"/>
      <protection/>
    </xf>
    <xf numFmtId="0" fontId="5" fillId="0" borderId="0" xfId="51" applyFont="1" applyFill="1" applyBorder="1">
      <alignment/>
      <protection/>
    </xf>
    <xf numFmtId="0" fontId="30" fillId="0" borderId="0" xfId="51" applyFont="1" applyFill="1" applyAlignment="1">
      <alignment horizontal="left"/>
      <protection/>
    </xf>
    <xf numFmtId="0" fontId="30" fillId="0" borderId="0" xfId="51" applyFont="1" applyFill="1" applyAlignment="1">
      <alignment horizontal="left"/>
      <protection/>
    </xf>
    <xf numFmtId="0" fontId="6" fillId="0" borderId="0" xfId="51" applyFont="1" applyFill="1" applyBorder="1" applyProtection="1">
      <alignment/>
      <protection/>
    </xf>
    <xf numFmtId="0" fontId="5" fillId="0" borderId="0" xfId="51" applyFont="1" applyFill="1" applyBorder="1" applyAlignment="1" applyProtection="1">
      <alignment horizontal="left" wrapText="1"/>
      <protection/>
    </xf>
    <xf numFmtId="3" fontId="6" fillId="0" borderId="0" xfId="51" applyNumberFormat="1" applyFont="1" applyFill="1" applyBorder="1" applyProtection="1">
      <alignment/>
      <protection/>
    </xf>
    <xf numFmtId="3" fontId="6" fillId="0" borderId="0" xfId="51" applyNumberFormat="1" applyFont="1" applyFill="1" applyBorder="1" applyAlignment="1" applyProtection="1">
      <alignment horizontal="center"/>
      <protection/>
    </xf>
    <xf numFmtId="1" fontId="6" fillId="0" borderId="0" xfId="51" applyNumberFormat="1" applyFont="1" applyFill="1" applyBorder="1" applyProtection="1">
      <alignment/>
      <protection/>
    </xf>
    <xf numFmtId="0" fontId="6" fillId="0" borderId="0" xfId="51" applyFont="1" applyFill="1" applyBorder="1" applyAlignment="1">
      <alignment horizontal="right"/>
      <protection/>
    </xf>
    <xf numFmtId="3" fontId="6" fillId="0" borderId="0" xfId="51" applyNumberFormat="1" applyFont="1" applyFill="1" applyBorder="1" applyAlignment="1">
      <alignment wrapText="1"/>
      <protection/>
    </xf>
  </cellXfs>
  <cellStyles count="5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2009.g plāns apst" xfId="50"/>
    <cellStyle name="Normal_2009.g plāns apst_2015.g. Ieņēmumu un izdevumu plāns" xfId="51"/>
    <cellStyle name="Normal_2015.g. Ieņēmumu un izdevumu plāns" xfId="52"/>
    <cellStyle name="Normal_Sheet1" xfId="53"/>
    <cellStyle name="Normal_Sheet1_Pielikumi oktobra korekcijam" xfId="54"/>
    <cellStyle name="Normal_Sheet1_Pielikumi oktobra korekcijam_Copy of 2015.g. Ieņēmumu un izdevumu plāns" xfId="55"/>
    <cellStyle name="Normal_Specb.2009.g. decembra korekcijas saīsin." xfId="56"/>
    <cellStyle name="Normal_Specbudz.kopsavilkums 2006.g un korekc." xfId="57"/>
    <cellStyle name="Normal_Specbudz.kopsavilkums 2006.g un korekc. 2" xfId="58"/>
    <cellStyle name="Nosaukums" xfId="59"/>
    <cellStyle name="Paskaidrojošs teksts" xfId="60"/>
    <cellStyle name="Pārbaudes šūna" xfId="61"/>
    <cellStyle name="Piezīme" xfId="62"/>
    <cellStyle name="Percent" xfId="63"/>
    <cellStyle name="Saistīta šūna" xfId="64"/>
    <cellStyle name="Slikts" xfId="65"/>
    <cellStyle name="Currency" xfId="66"/>
    <cellStyle name="Currency [0]" xfId="67"/>
    <cellStyle name="Virsraksts 1" xfId="68"/>
    <cellStyle name="Virsraksts 2" xfId="69"/>
    <cellStyle name="Virsraksts 3" xfId="70"/>
    <cellStyle name="Virsraksts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lvija\2006.g.bud&#382;ets\Materi&#257;li%20domes%20s&#275;dei\Budzeta%20proj%202006.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žets"/>
      <sheetName val="Tautsaimn."/>
      <sheetName val="X-copy"/>
      <sheetName val="Projekt.darbi"/>
      <sheetName val="TS atšifr."/>
      <sheetName val="Sheet12"/>
      <sheetName val="Sheet13"/>
      <sheetName val="Sheet14"/>
      <sheetName val="Sheet15"/>
      <sheetName val="Sheet16"/>
    </sheetNames>
    <sheetDataSet>
      <sheetData sheetId="0">
        <row r="436">
          <cell r="H436" t="str">
            <v>S.Velberga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1"/>
  <sheetViews>
    <sheetView tabSelected="1" zoomScalePageLayoutView="0" workbookViewId="0" topLeftCell="A1">
      <pane xSplit="2" ySplit="7" topLeftCell="C7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57" sqref="I57"/>
    </sheetView>
  </sheetViews>
  <sheetFormatPr defaultColWidth="9.140625" defaultRowHeight="12.75"/>
  <cols>
    <col min="1" max="1" width="12.57421875" style="12" customWidth="1"/>
    <col min="2" max="2" width="36.57421875" style="13" customWidth="1"/>
    <col min="3" max="3" width="11.28125" style="29" customWidth="1"/>
    <col min="4" max="4" width="11.00390625" style="14" customWidth="1"/>
    <col min="5" max="6" width="10.7109375" style="12" customWidth="1"/>
    <col min="7" max="7" width="10.57421875" style="12" customWidth="1"/>
    <col min="8" max="9" width="9.7109375" style="12" customWidth="1"/>
    <col min="10" max="10" width="10.7109375" style="12" customWidth="1"/>
    <col min="11" max="11" width="9.28125" style="12" customWidth="1"/>
    <col min="12" max="12" width="9.7109375" style="12" customWidth="1"/>
    <col min="13" max="13" width="10.421875" style="12" customWidth="1"/>
    <col min="14" max="14" width="10.28125" style="12" customWidth="1"/>
    <col min="15" max="15" width="11.28125" style="16" customWidth="1"/>
    <col min="16" max="16384" width="9.140625" style="12" customWidth="1"/>
  </cols>
  <sheetData>
    <row r="1" spans="5:6" ht="15">
      <c r="E1" s="15" t="s">
        <v>11</v>
      </c>
      <c r="F1" s="15"/>
    </row>
    <row r="2" spans="1:6" ht="15">
      <c r="A2" s="17"/>
      <c r="E2" s="17" t="s">
        <v>12</v>
      </c>
      <c r="F2" s="17"/>
    </row>
    <row r="3" spans="1:6" ht="15">
      <c r="A3" s="17"/>
      <c r="E3" s="17" t="s">
        <v>506</v>
      </c>
      <c r="F3" s="17"/>
    </row>
    <row r="5" spans="1:4" ht="20.25">
      <c r="A5" s="224" t="s">
        <v>404</v>
      </c>
      <c r="B5" s="224"/>
      <c r="C5" s="224"/>
      <c r="D5" s="224"/>
    </row>
    <row r="6" spans="1:13" ht="15.75" thickBot="1">
      <c r="A6" s="17"/>
      <c r="B6" s="18"/>
      <c r="C6" s="180"/>
      <c r="M6" s="19"/>
    </row>
    <row r="7" spans="1:15" ht="102" customHeight="1" thickBot="1">
      <c r="A7" s="20" t="s">
        <v>10</v>
      </c>
      <c r="B7" s="21" t="s">
        <v>149</v>
      </c>
      <c r="C7" s="181" t="s">
        <v>405</v>
      </c>
      <c r="D7" s="182" t="s">
        <v>406</v>
      </c>
      <c r="E7" s="22" t="s">
        <v>407</v>
      </c>
      <c r="F7" s="22" t="s">
        <v>457</v>
      </c>
      <c r="G7" s="23" t="s">
        <v>408</v>
      </c>
      <c r="H7" s="23" t="s">
        <v>409</v>
      </c>
      <c r="I7" s="23" t="s">
        <v>410</v>
      </c>
      <c r="J7" s="23" t="s">
        <v>411</v>
      </c>
      <c r="K7" s="23" t="s">
        <v>412</v>
      </c>
      <c r="L7" s="23" t="s">
        <v>413</v>
      </c>
      <c r="M7" s="23" t="s">
        <v>414</v>
      </c>
      <c r="N7" s="183" t="s">
        <v>415</v>
      </c>
      <c r="O7" s="24" t="s">
        <v>416</v>
      </c>
    </row>
    <row r="8" spans="1:15" ht="15.75" thickBot="1">
      <c r="A8" s="25"/>
      <c r="B8" s="26" t="s">
        <v>24</v>
      </c>
      <c r="C8" s="27">
        <f aca="true" t="shared" si="0" ref="C8:N8">C9+C12+C17</f>
        <v>21500451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95486</v>
      </c>
      <c r="H8" s="27">
        <f t="shared" si="0"/>
        <v>36840</v>
      </c>
      <c r="I8" s="27">
        <f t="shared" si="0"/>
        <v>42900</v>
      </c>
      <c r="J8" s="27">
        <f t="shared" si="0"/>
        <v>84367</v>
      </c>
      <c r="K8" s="27">
        <f t="shared" si="0"/>
        <v>41595</v>
      </c>
      <c r="L8" s="27">
        <f t="shared" si="0"/>
        <v>37647</v>
      </c>
      <c r="M8" s="27">
        <f t="shared" si="0"/>
        <v>32353</v>
      </c>
      <c r="N8" s="27">
        <f t="shared" si="0"/>
        <v>50728</v>
      </c>
      <c r="O8" s="28">
        <f>SUM(C8:N8)</f>
        <v>21922367</v>
      </c>
    </row>
    <row r="9" spans="1:15" ht="30">
      <c r="A9" s="30" t="s">
        <v>25</v>
      </c>
      <c r="B9" s="31" t="s">
        <v>150</v>
      </c>
      <c r="C9" s="32">
        <f aca="true" t="shared" si="1" ref="C9:N9">SUM(C10:C11)</f>
        <v>19680233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  <c r="J9" s="32">
        <f t="shared" si="1"/>
        <v>0</v>
      </c>
      <c r="K9" s="32">
        <f t="shared" si="1"/>
        <v>0</v>
      </c>
      <c r="L9" s="32">
        <f t="shared" si="1"/>
        <v>0</v>
      </c>
      <c r="M9" s="32">
        <f t="shared" si="1"/>
        <v>0</v>
      </c>
      <c r="N9" s="32">
        <f t="shared" si="1"/>
        <v>0</v>
      </c>
      <c r="O9" s="33">
        <f aca="true" t="shared" si="2" ref="O9:O48">SUM(C9:N9)</f>
        <v>19680233</v>
      </c>
    </row>
    <row r="10" spans="1:15" ht="45">
      <c r="A10" s="34" t="s">
        <v>26</v>
      </c>
      <c r="B10" s="35" t="s">
        <v>151</v>
      </c>
      <c r="C10" s="5">
        <v>196436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3">
        <f t="shared" si="2"/>
        <v>196436</v>
      </c>
    </row>
    <row r="11" spans="1:15" ht="45">
      <c r="A11" s="34" t="s">
        <v>27</v>
      </c>
      <c r="B11" s="35" t="s">
        <v>152</v>
      </c>
      <c r="C11" s="5">
        <v>19483797</v>
      </c>
      <c r="D11" s="5"/>
      <c r="E11" s="38"/>
      <c r="F11" s="38"/>
      <c r="G11" s="5"/>
      <c r="H11" s="5"/>
      <c r="I11" s="5"/>
      <c r="J11" s="5"/>
      <c r="K11" s="5"/>
      <c r="L11" s="5"/>
      <c r="M11" s="5"/>
      <c r="N11" s="5"/>
      <c r="O11" s="33">
        <f t="shared" si="2"/>
        <v>19483797</v>
      </c>
    </row>
    <row r="12" spans="1:15" ht="15">
      <c r="A12" s="39" t="s">
        <v>153</v>
      </c>
      <c r="B12" s="35" t="s">
        <v>154</v>
      </c>
      <c r="C12" s="5">
        <f>C13</f>
        <v>1760218</v>
      </c>
      <c r="D12" s="5"/>
      <c r="E12" s="5"/>
      <c r="F12" s="5"/>
      <c r="G12" s="5">
        <f>G13</f>
        <v>95486</v>
      </c>
      <c r="H12" s="37">
        <f aca="true" t="shared" si="3" ref="H12:N12">H13</f>
        <v>36840</v>
      </c>
      <c r="I12" s="37">
        <f t="shared" si="3"/>
        <v>42900</v>
      </c>
      <c r="J12" s="37">
        <f t="shared" si="3"/>
        <v>84367</v>
      </c>
      <c r="K12" s="37">
        <f t="shared" si="3"/>
        <v>41595</v>
      </c>
      <c r="L12" s="37">
        <f t="shared" si="3"/>
        <v>37647</v>
      </c>
      <c r="M12" s="37">
        <f t="shared" si="3"/>
        <v>32353</v>
      </c>
      <c r="N12" s="37">
        <f t="shared" si="3"/>
        <v>50728</v>
      </c>
      <c r="O12" s="33">
        <f t="shared" si="2"/>
        <v>2182134</v>
      </c>
    </row>
    <row r="13" spans="1:15" ht="15">
      <c r="A13" s="39" t="s">
        <v>28</v>
      </c>
      <c r="B13" s="35" t="s">
        <v>29</v>
      </c>
      <c r="C13" s="5">
        <f>SUM(C14:C16)</f>
        <v>1760218</v>
      </c>
      <c r="D13" s="5"/>
      <c r="E13" s="5"/>
      <c r="F13" s="5"/>
      <c r="G13" s="5">
        <f>SUM(G14:G16)</f>
        <v>95486</v>
      </c>
      <c r="H13" s="5">
        <f aca="true" t="shared" si="4" ref="H13:N13">SUM(H14:H16)</f>
        <v>36840</v>
      </c>
      <c r="I13" s="5">
        <f t="shared" si="4"/>
        <v>42900</v>
      </c>
      <c r="J13" s="5">
        <f t="shared" si="4"/>
        <v>84367</v>
      </c>
      <c r="K13" s="5">
        <f t="shared" si="4"/>
        <v>41595</v>
      </c>
      <c r="L13" s="5">
        <f t="shared" si="4"/>
        <v>37647</v>
      </c>
      <c r="M13" s="5">
        <f t="shared" si="4"/>
        <v>32353</v>
      </c>
      <c r="N13" s="5">
        <f t="shared" si="4"/>
        <v>50728</v>
      </c>
      <c r="O13" s="33">
        <f t="shared" si="2"/>
        <v>2182134</v>
      </c>
    </row>
    <row r="14" spans="1:15" ht="15">
      <c r="A14" s="34" t="s">
        <v>13</v>
      </c>
      <c r="B14" s="35" t="s">
        <v>30</v>
      </c>
      <c r="C14" s="37">
        <f>766240+85000+229</f>
        <v>851469</v>
      </c>
      <c r="D14" s="40"/>
      <c r="E14" s="40"/>
      <c r="F14" s="40"/>
      <c r="G14" s="184">
        <v>81469</v>
      </c>
      <c r="H14" s="40">
        <v>32680</v>
      </c>
      <c r="I14" s="40">
        <v>38000</v>
      </c>
      <c r="J14" s="40">
        <v>75453</v>
      </c>
      <c r="K14" s="40">
        <v>39598</v>
      </c>
      <c r="L14" s="41">
        <f>34002+1500</f>
        <v>35502</v>
      </c>
      <c r="M14" s="41">
        <f>28587+2300</f>
        <v>30887</v>
      </c>
      <c r="N14" s="40">
        <f>47728+500</f>
        <v>48228</v>
      </c>
      <c r="O14" s="33">
        <f t="shared" si="2"/>
        <v>1233286</v>
      </c>
    </row>
    <row r="15" spans="1:15" ht="15">
      <c r="A15" s="34" t="s">
        <v>14</v>
      </c>
      <c r="B15" s="35" t="s">
        <v>31</v>
      </c>
      <c r="C15" s="37">
        <f>516012+40371</f>
        <v>556383</v>
      </c>
      <c r="D15" s="40"/>
      <c r="E15" s="40"/>
      <c r="F15" s="40"/>
      <c r="G15" s="184">
        <v>12260</v>
      </c>
      <c r="H15" s="40">
        <v>2450</v>
      </c>
      <c r="I15" s="40">
        <v>2200</v>
      </c>
      <c r="J15" s="40">
        <v>3364</v>
      </c>
      <c r="K15" s="40">
        <v>1997</v>
      </c>
      <c r="L15" s="40">
        <f>1446+100</f>
        <v>1546</v>
      </c>
      <c r="M15" s="40">
        <v>291</v>
      </c>
      <c r="N15" s="40">
        <v>2500</v>
      </c>
      <c r="O15" s="33">
        <f t="shared" si="2"/>
        <v>582991</v>
      </c>
    </row>
    <row r="16" spans="1:15" ht="30">
      <c r="A16" s="34" t="s">
        <v>223</v>
      </c>
      <c r="B16" s="35" t="s">
        <v>224</v>
      </c>
      <c r="C16" s="37">
        <v>352366</v>
      </c>
      <c r="D16" s="40"/>
      <c r="E16" s="40"/>
      <c r="F16" s="40"/>
      <c r="G16" s="184">
        <v>1757</v>
      </c>
      <c r="H16" s="40">
        <v>1710</v>
      </c>
      <c r="I16" s="40">
        <v>2700</v>
      </c>
      <c r="J16" s="40">
        <v>5550</v>
      </c>
      <c r="K16" s="40"/>
      <c r="L16" s="40">
        <v>599</v>
      </c>
      <c r="M16" s="40">
        <v>1175</v>
      </c>
      <c r="N16" s="40"/>
      <c r="O16" s="33">
        <f t="shared" si="2"/>
        <v>365857</v>
      </c>
    </row>
    <row r="17" spans="1:15" ht="15.75" thickBot="1">
      <c r="A17" s="42" t="s">
        <v>15</v>
      </c>
      <c r="B17" s="43" t="s">
        <v>32</v>
      </c>
      <c r="C17" s="44">
        <v>60000</v>
      </c>
      <c r="D17" s="44"/>
      <c r="E17" s="44"/>
      <c r="F17" s="44"/>
      <c r="G17" s="46"/>
      <c r="H17" s="46"/>
      <c r="I17" s="46"/>
      <c r="J17" s="47"/>
      <c r="K17" s="47"/>
      <c r="L17" s="47"/>
      <c r="M17" s="47"/>
      <c r="N17" s="185"/>
      <c r="O17" s="48">
        <f t="shared" si="2"/>
        <v>60000</v>
      </c>
    </row>
    <row r="18" spans="1:15" ht="15.75" thickBot="1">
      <c r="A18" s="25"/>
      <c r="B18" s="26" t="s">
        <v>33</v>
      </c>
      <c r="C18" s="27">
        <f aca="true" t="shared" si="5" ref="C18:N18">SUM(C19:C25)</f>
        <v>126576</v>
      </c>
      <c r="D18" s="27">
        <f t="shared" si="5"/>
        <v>6003</v>
      </c>
      <c r="E18" s="27">
        <f t="shared" si="5"/>
        <v>0</v>
      </c>
      <c r="F18" s="27">
        <f t="shared" si="5"/>
        <v>0</v>
      </c>
      <c r="G18" s="27">
        <f t="shared" si="5"/>
        <v>828</v>
      </c>
      <c r="H18" s="49">
        <f t="shared" si="5"/>
        <v>200</v>
      </c>
      <c r="I18" s="49">
        <f t="shared" si="5"/>
        <v>500</v>
      </c>
      <c r="J18" s="49">
        <f t="shared" si="5"/>
        <v>44918</v>
      </c>
      <c r="K18" s="49">
        <f t="shared" si="5"/>
        <v>80</v>
      </c>
      <c r="L18" s="49">
        <f t="shared" si="5"/>
        <v>740</v>
      </c>
      <c r="M18" s="49">
        <f>SUM(M19:M25)</f>
        <v>2400</v>
      </c>
      <c r="N18" s="49">
        <f t="shared" si="5"/>
        <v>130</v>
      </c>
      <c r="O18" s="28">
        <f t="shared" si="2"/>
        <v>182375</v>
      </c>
    </row>
    <row r="19" spans="1:15" ht="30">
      <c r="A19" s="30" t="s">
        <v>155</v>
      </c>
      <c r="B19" s="31" t="s">
        <v>156</v>
      </c>
      <c r="C19" s="32"/>
      <c r="D19" s="32">
        <v>3</v>
      </c>
      <c r="E19" s="32"/>
      <c r="F19" s="32"/>
      <c r="G19" s="52">
        <v>28</v>
      </c>
      <c r="H19" s="52"/>
      <c r="I19" s="53"/>
      <c r="J19" s="53">
        <v>1400</v>
      </c>
      <c r="K19" s="53"/>
      <c r="L19" s="53"/>
      <c r="M19" s="53"/>
      <c r="N19" s="78"/>
      <c r="O19" s="33">
        <f t="shared" si="2"/>
        <v>1431</v>
      </c>
    </row>
    <row r="20" spans="1:15" ht="30">
      <c r="A20" s="39" t="s">
        <v>34</v>
      </c>
      <c r="B20" s="35" t="s">
        <v>35</v>
      </c>
      <c r="C20" s="5">
        <v>8000</v>
      </c>
      <c r="D20" s="5"/>
      <c r="E20" s="5"/>
      <c r="F20" s="5"/>
      <c r="G20" s="55"/>
      <c r="H20" s="41">
        <v>50</v>
      </c>
      <c r="I20" s="54">
        <v>250</v>
      </c>
      <c r="J20" s="54">
        <v>1067</v>
      </c>
      <c r="K20" s="54">
        <v>40</v>
      </c>
      <c r="L20" s="54">
        <v>240</v>
      </c>
      <c r="M20" s="54">
        <v>200</v>
      </c>
      <c r="N20" s="57">
        <v>100</v>
      </c>
      <c r="O20" s="33">
        <f t="shared" si="2"/>
        <v>9947</v>
      </c>
    </row>
    <row r="21" spans="1:15" ht="15">
      <c r="A21" s="39" t="s">
        <v>17</v>
      </c>
      <c r="B21" s="35" t="s">
        <v>16</v>
      </c>
      <c r="C21" s="5">
        <v>13000</v>
      </c>
      <c r="D21" s="5">
        <v>6000</v>
      </c>
      <c r="E21" s="5"/>
      <c r="F21" s="5"/>
      <c r="G21" s="41">
        <v>600</v>
      </c>
      <c r="H21" s="41">
        <v>150</v>
      </c>
      <c r="I21" s="54">
        <v>250</v>
      </c>
      <c r="J21" s="54">
        <v>4160</v>
      </c>
      <c r="K21" s="54">
        <v>40</v>
      </c>
      <c r="L21" s="54">
        <v>500</v>
      </c>
      <c r="M21" s="54">
        <v>200</v>
      </c>
      <c r="N21" s="57">
        <v>30</v>
      </c>
      <c r="O21" s="33">
        <f t="shared" si="2"/>
        <v>24930</v>
      </c>
    </row>
    <row r="22" spans="1:15" ht="15">
      <c r="A22" s="39" t="s">
        <v>157</v>
      </c>
      <c r="B22" s="35" t="s">
        <v>158</v>
      </c>
      <c r="C22" s="5">
        <v>30000</v>
      </c>
      <c r="D22" s="5"/>
      <c r="E22" s="5"/>
      <c r="F22" s="5"/>
      <c r="G22" s="41">
        <v>200</v>
      </c>
      <c r="H22" s="41"/>
      <c r="I22" s="54"/>
      <c r="J22" s="54">
        <v>1940</v>
      </c>
      <c r="K22" s="54"/>
      <c r="L22" s="54"/>
      <c r="M22" s="54"/>
      <c r="N22" s="57"/>
      <c r="O22" s="33">
        <f t="shared" si="2"/>
        <v>32140</v>
      </c>
    </row>
    <row r="23" spans="1:15" ht="30">
      <c r="A23" s="39" t="s">
        <v>159</v>
      </c>
      <c r="B23" s="35" t="s">
        <v>160</v>
      </c>
      <c r="C23" s="5"/>
      <c r="D23" s="5"/>
      <c r="E23" s="5"/>
      <c r="F23" s="5"/>
      <c r="G23" s="55"/>
      <c r="H23" s="41"/>
      <c r="I23" s="54"/>
      <c r="J23" s="54"/>
      <c r="K23" s="54"/>
      <c r="L23" s="54"/>
      <c r="M23" s="54"/>
      <c r="N23" s="57"/>
      <c r="O23" s="33">
        <f t="shared" si="2"/>
        <v>0</v>
      </c>
    </row>
    <row r="24" spans="1:15" ht="15">
      <c r="A24" s="39" t="s">
        <v>161</v>
      </c>
      <c r="B24" s="35" t="s">
        <v>36</v>
      </c>
      <c r="C24" s="5">
        <f>30900+3190+41486</f>
        <v>75576</v>
      </c>
      <c r="D24" s="5"/>
      <c r="E24" s="5"/>
      <c r="F24" s="5"/>
      <c r="G24" s="41"/>
      <c r="H24" s="55"/>
      <c r="I24" s="54"/>
      <c r="J24" s="54"/>
      <c r="K24" s="54"/>
      <c r="L24" s="54"/>
      <c r="M24" s="54">
        <v>2000</v>
      </c>
      <c r="N24" s="57"/>
      <c r="O24" s="33">
        <f t="shared" si="2"/>
        <v>77576</v>
      </c>
    </row>
    <row r="25" spans="1:15" ht="45">
      <c r="A25" s="39" t="s">
        <v>139</v>
      </c>
      <c r="B25" s="35" t="s">
        <v>364</v>
      </c>
      <c r="C25" s="5"/>
      <c r="D25" s="5"/>
      <c r="E25" s="5"/>
      <c r="F25" s="5"/>
      <c r="G25" s="5"/>
      <c r="H25" s="36"/>
      <c r="I25" s="36"/>
      <c r="J25" s="54">
        <f>20000+16351</f>
        <v>36351</v>
      </c>
      <c r="K25" s="36"/>
      <c r="L25" s="54"/>
      <c r="M25" s="36"/>
      <c r="N25" s="36"/>
      <c r="O25" s="33">
        <f t="shared" si="2"/>
        <v>36351</v>
      </c>
    </row>
    <row r="26" spans="1:15" ht="58.5" thickBot="1">
      <c r="A26" s="58" t="s">
        <v>400</v>
      </c>
      <c r="B26" s="158" t="s">
        <v>399</v>
      </c>
      <c r="C26" s="71"/>
      <c r="D26" s="71"/>
      <c r="E26" s="71"/>
      <c r="F26" s="71"/>
      <c r="G26" s="71"/>
      <c r="H26" s="72"/>
      <c r="I26" s="72"/>
      <c r="J26" s="121"/>
      <c r="K26" s="72"/>
      <c r="L26" s="121"/>
      <c r="M26" s="72"/>
      <c r="N26" s="72"/>
      <c r="O26" s="33">
        <f t="shared" si="2"/>
        <v>0</v>
      </c>
    </row>
    <row r="27" spans="1:15" ht="15.75" thickBot="1">
      <c r="A27" s="59" t="s">
        <v>37</v>
      </c>
      <c r="B27" s="26" t="s">
        <v>38</v>
      </c>
      <c r="C27" s="27">
        <f aca="true" t="shared" si="6" ref="C27:N27">SUM(C28:C28)</f>
        <v>8080005</v>
      </c>
      <c r="D27" s="27">
        <f t="shared" si="6"/>
        <v>1843426</v>
      </c>
      <c r="E27" s="27">
        <f t="shared" si="6"/>
        <v>10500</v>
      </c>
      <c r="F27" s="27">
        <f t="shared" si="6"/>
        <v>19717</v>
      </c>
      <c r="G27" s="27">
        <f t="shared" si="6"/>
        <v>0</v>
      </c>
      <c r="H27" s="27">
        <f t="shared" si="6"/>
        <v>58828</v>
      </c>
      <c r="I27" s="27">
        <f t="shared" si="6"/>
        <v>400</v>
      </c>
      <c r="J27" s="27">
        <f t="shared" si="6"/>
        <v>59093</v>
      </c>
      <c r="K27" s="27">
        <f t="shared" si="6"/>
        <v>0</v>
      </c>
      <c r="L27" s="27">
        <f t="shared" si="6"/>
        <v>5470</v>
      </c>
      <c r="M27" s="27">
        <f t="shared" si="6"/>
        <v>0</v>
      </c>
      <c r="N27" s="27">
        <f t="shared" si="6"/>
        <v>0</v>
      </c>
      <c r="O27" s="28">
        <f t="shared" si="2"/>
        <v>10077439</v>
      </c>
    </row>
    <row r="28" spans="1:15" ht="31.5" customHeight="1" thickBot="1">
      <c r="A28" s="60" t="s">
        <v>222</v>
      </c>
      <c r="B28" s="61" t="s">
        <v>225</v>
      </c>
      <c r="C28" s="32">
        <f>5250308+704041+2125656</f>
        <v>8080005</v>
      </c>
      <c r="D28" s="32">
        <v>1843426</v>
      </c>
      <c r="E28" s="32">
        <v>10500</v>
      </c>
      <c r="F28" s="32">
        <v>19717</v>
      </c>
      <c r="G28" s="32">
        <f>19717-19717</f>
        <v>0</v>
      </c>
      <c r="H28" s="50">
        <v>58828</v>
      </c>
      <c r="I28" s="50">
        <v>400</v>
      </c>
      <c r="J28" s="50">
        <v>59093</v>
      </c>
      <c r="K28" s="50"/>
      <c r="L28" s="50">
        <v>5470</v>
      </c>
      <c r="M28" s="50"/>
      <c r="N28" s="50"/>
      <c r="O28" s="33">
        <f t="shared" si="2"/>
        <v>10077439</v>
      </c>
    </row>
    <row r="29" spans="1:15" ht="15.75" thickBot="1">
      <c r="A29" s="59" t="s">
        <v>39</v>
      </c>
      <c r="B29" s="26" t="s">
        <v>40</v>
      </c>
      <c r="C29" s="49">
        <f aca="true" t="shared" si="7" ref="C29:N29">SUM(C30:C32)</f>
        <v>500000</v>
      </c>
      <c r="D29" s="49">
        <f t="shared" si="7"/>
        <v>0</v>
      </c>
      <c r="E29" s="49">
        <f t="shared" si="7"/>
        <v>0</v>
      </c>
      <c r="F29" s="49">
        <f t="shared" si="7"/>
        <v>0</v>
      </c>
      <c r="G29" s="27">
        <f t="shared" si="7"/>
        <v>0</v>
      </c>
      <c r="H29" s="27">
        <f t="shared" si="7"/>
        <v>64030</v>
      </c>
      <c r="I29" s="27">
        <f t="shared" si="7"/>
        <v>0</v>
      </c>
      <c r="J29" s="27">
        <f t="shared" si="7"/>
        <v>39539</v>
      </c>
      <c r="K29" s="27">
        <f t="shared" si="7"/>
        <v>0</v>
      </c>
      <c r="L29" s="27">
        <f t="shared" si="7"/>
        <v>0</v>
      </c>
      <c r="M29" s="27">
        <f t="shared" si="7"/>
        <v>0</v>
      </c>
      <c r="N29" s="27">
        <f t="shared" si="7"/>
        <v>0</v>
      </c>
      <c r="O29" s="28">
        <f t="shared" si="2"/>
        <v>603569</v>
      </c>
    </row>
    <row r="30" spans="1:15" ht="30">
      <c r="A30" s="30" t="s">
        <v>162</v>
      </c>
      <c r="B30" s="31" t="s">
        <v>226</v>
      </c>
      <c r="C30" s="50"/>
      <c r="D30" s="50"/>
      <c r="E30" s="50"/>
      <c r="F30" s="50"/>
      <c r="G30" s="32"/>
      <c r="H30" s="50"/>
      <c r="I30" s="50"/>
      <c r="J30" s="50"/>
      <c r="K30" s="50"/>
      <c r="L30" s="50"/>
      <c r="M30" s="50"/>
      <c r="N30" s="50"/>
      <c r="O30" s="33">
        <f t="shared" si="2"/>
        <v>0</v>
      </c>
    </row>
    <row r="31" spans="1:15" ht="30">
      <c r="A31" s="39" t="s">
        <v>41</v>
      </c>
      <c r="B31" s="35" t="s">
        <v>227</v>
      </c>
      <c r="C31" s="36">
        <v>500000</v>
      </c>
      <c r="D31" s="36"/>
      <c r="E31" s="36"/>
      <c r="F31" s="36"/>
      <c r="G31" s="5"/>
      <c r="H31" s="36">
        <v>64030</v>
      </c>
      <c r="I31" s="36"/>
      <c r="J31" s="36">
        <v>39539</v>
      </c>
      <c r="K31" s="36"/>
      <c r="L31" s="5"/>
      <c r="M31" s="36"/>
      <c r="N31" s="36"/>
      <c r="O31" s="33">
        <f t="shared" si="2"/>
        <v>603569</v>
      </c>
    </row>
    <row r="32" spans="1:15" ht="30.75" thickBot="1">
      <c r="A32" s="42" t="s">
        <v>42</v>
      </c>
      <c r="B32" s="35" t="s">
        <v>228</v>
      </c>
      <c r="C32" s="44"/>
      <c r="D32" s="44"/>
      <c r="E32" s="44"/>
      <c r="F32" s="44"/>
      <c r="G32" s="186"/>
      <c r="H32" s="44"/>
      <c r="I32" s="44"/>
      <c r="J32" s="44"/>
      <c r="K32" s="45"/>
      <c r="L32" s="62"/>
      <c r="M32" s="218"/>
      <c r="N32" s="187"/>
      <c r="O32" s="48">
        <f t="shared" si="2"/>
        <v>0</v>
      </c>
    </row>
    <row r="33" spans="1:15" ht="15.75" thickBot="1">
      <c r="A33" s="59" t="s">
        <v>43</v>
      </c>
      <c r="B33" s="26" t="s">
        <v>44</v>
      </c>
      <c r="C33" s="49">
        <f>SUM(C34,C35,C42)</f>
        <v>410406</v>
      </c>
      <c r="D33" s="49">
        <f aca="true" t="shared" si="8" ref="D33:M33">SUM(D34,D35,D42)</f>
        <v>10548809</v>
      </c>
      <c r="E33" s="49">
        <f t="shared" si="8"/>
        <v>106803</v>
      </c>
      <c r="F33" s="49">
        <f t="shared" si="8"/>
        <v>266078</v>
      </c>
      <c r="G33" s="49">
        <f t="shared" si="8"/>
        <v>78470</v>
      </c>
      <c r="H33" s="49">
        <f t="shared" si="8"/>
        <v>83137</v>
      </c>
      <c r="I33" s="49">
        <f t="shared" si="8"/>
        <v>140833</v>
      </c>
      <c r="J33" s="49">
        <f t="shared" si="8"/>
        <v>660117</v>
      </c>
      <c r="K33" s="49">
        <f t="shared" si="8"/>
        <v>7770</v>
      </c>
      <c r="L33" s="49">
        <f t="shared" si="8"/>
        <v>14561</v>
      </c>
      <c r="M33" s="49">
        <f t="shared" si="8"/>
        <v>8700</v>
      </c>
      <c r="N33" s="49">
        <f>SUM(N34,N35,N42)</f>
        <v>38500</v>
      </c>
      <c r="O33" s="28">
        <f>SUM(C33:N33)</f>
        <v>12364184</v>
      </c>
    </row>
    <row r="34" spans="1:15" ht="31.5">
      <c r="A34" s="63" t="s">
        <v>212</v>
      </c>
      <c r="B34" s="219" t="s">
        <v>213</v>
      </c>
      <c r="C34" s="51">
        <v>6472</v>
      </c>
      <c r="D34" s="32"/>
      <c r="E34" s="50"/>
      <c r="F34" s="50"/>
      <c r="G34" s="64"/>
      <c r="H34" s="64"/>
      <c r="I34" s="53"/>
      <c r="J34" s="53"/>
      <c r="K34" s="53"/>
      <c r="L34" s="53"/>
      <c r="M34" s="53"/>
      <c r="N34" s="78"/>
      <c r="O34" s="33">
        <f t="shared" si="2"/>
        <v>6472</v>
      </c>
    </row>
    <row r="35" spans="1:15" ht="43.5">
      <c r="A35" s="65" t="s">
        <v>45</v>
      </c>
      <c r="B35" s="66" t="s">
        <v>229</v>
      </c>
      <c r="C35" s="8">
        <f>SUM(C36:C41)</f>
        <v>394129</v>
      </c>
      <c r="D35" s="8">
        <f aca="true" t="shared" si="9" ref="D35:M35">SUM(D36:D41)</f>
        <v>10344117</v>
      </c>
      <c r="E35" s="67">
        <f t="shared" si="9"/>
        <v>106802</v>
      </c>
      <c r="F35" s="67">
        <f t="shared" si="9"/>
        <v>266078</v>
      </c>
      <c r="G35" s="8">
        <f t="shared" si="9"/>
        <v>78470</v>
      </c>
      <c r="H35" s="67">
        <f t="shared" si="9"/>
        <v>83137</v>
      </c>
      <c r="I35" s="8">
        <f t="shared" si="9"/>
        <v>140833</v>
      </c>
      <c r="J35" s="67">
        <f t="shared" si="9"/>
        <v>660117</v>
      </c>
      <c r="K35" s="8">
        <f>SUM(K36:K41)</f>
        <v>7770</v>
      </c>
      <c r="L35" s="67">
        <f t="shared" si="9"/>
        <v>14561</v>
      </c>
      <c r="M35" s="8">
        <f t="shared" si="9"/>
        <v>8700</v>
      </c>
      <c r="N35" s="68">
        <f>SUM(N36:N41)</f>
        <v>37300</v>
      </c>
      <c r="O35" s="33">
        <f>SUM(C35:N35)</f>
        <v>12142014</v>
      </c>
    </row>
    <row r="36" spans="1:15" ht="60">
      <c r="A36" s="34" t="s">
        <v>163</v>
      </c>
      <c r="B36" s="35" t="s">
        <v>164</v>
      </c>
      <c r="C36" s="68"/>
      <c r="D36" s="68"/>
      <c r="E36" s="67"/>
      <c r="F36" s="8"/>
      <c r="G36" s="8"/>
      <c r="H36" s="8"/>
      <c r="I36" s="8"/>
      <c r="J36" s="5"/>
      <c r="K36" s="8"/>
      <c r="L36" s="8"/>
      <c r="M36" s="8"/>
      <c r="N36" s="101"/>
      <c r="O36" s="33">
        <f t="shared" si="2"/>
        <v>0</v>
      </c>
    </row>
    <row r="37" spans="1:15" ht="15">
      <c r="A37" s="34" t="s">
        <v>165</v>
      </c>
      <c r="B37" s="35" t="s">
        <v>166</v>
      </c>
      <c r="C37" s="37">
        <v>188480</v>
      </c>
      <c r="D37" s="37"/>
      <c r="E37" s="56"/>
      <c r="F37" s="5"/>
      <c r="G37" s="5">
        <v>51437</v>
      </c>
      <c r="H37" s="8"/>
      <c r="I37" s="5"/>
      <c r="J37" s="5">
        <v>62771</v>
      </c>
      <c r="K37" s="8"/>
      <c r="L37" s="8"/>
      <c r="M37" s="8"/>
      <c r="N37" s="101"/>
      <c r="O37" s="33">
        <f t="shared" si="2"/>
        <v>302688</v>
      </c>
    </row>
    <row r="38" spans="1:15" ht="15">
      <c r="A38" s="34" t="s">
        <v>167</v>
      </c>
      <c r="B38" s="35" t="s">
        <v>168</v>
      </c>
      <c r="C38" s="5"/>
      <c r="D38" s="5"/>
      <c r="E38" s="5"/>
      <c r="F38" s="5"/>
      <c r="G38" s="55"/>
      <c r="H38" s="55"/>
      <c r="I38" s="54"/>
      <c r="J38" s="54"/>
      <c r="K38" s="54"/>
      <c r="L38" s="54"/>
      <c r="M38" s="54"/>
      <c r="N38" s="57"/>
      <c r="O38" s="33">
        <f t="shared" si="2"/>
        <v>0</v>
      </c>
    </row>
    <row r="39" spans="1:15" ht="30">
      <c r="A39" s="34" t="s">
        <v>169</v>
      </c>
      <c r="B39" s="35" t="s">
        <v>170</v>
      </c>
      <c r="C39" s="5">
        <v>1500</v>
      </c>
      <c r="D39" s="5"/>
      <c r="E39" s="5"/>
      <c r="F39" s="5"/>
      <c r="G39" s="55"/>
      <c r="H39" s="41"/>
      <c r="I39" s="54"/>
      <c r="J39" s="54">
        <v>15</v>
      </c>
      <c r="K39" s="54"/>
      <c r="L39" s="54"/>
      <c r="M39" s="54"/>
      <c r="N39" s="57"/>
      <c r="O39" s="33">
        <f t="shared" si="2"/>
        <v>1515</v>
      </c>
    </row>
    <row r="40" spans="1:15" ht="15">
      <c r="A40" s="34" t="s">
        <v>46</v>
      </c>
      <c r="B40" s="35" t="s">
        <v>47</v>
      </c>
      <c r="C40" s="5">
        <v>191184</v>
      </c>
      <c r="D40" s="5">
        <v>66634</v>
      </c>
      <c r="E40" s="5">
        <v>54600</v>
      </c>
      <c r="F40" s="5">
        <v>1797</v>
      </c>
      <c r="G40" s="41">
        <v>4553</v>
      </c>
      <c r="H40" s="41">
        <v>2567</v>
      </c>
      <c r="I40" s="54">
        <v>6447</v>
      </c>
      <c r="J40" s="54">
        <v>24366</v>
      </c>
      <c r="K40" s="54">
        <v>70</v>
      </c>
      <c r="L40" s="54">
        <v>3181</v>
      </c>
      <c r="M40" s="54">
        <v>1200</v>
      </c>
      <c r="N40" s="57">
        <v>3500</v>
      </c>
      <c r="O40" s="33">
        <f t="shared" si="2"/>
        <v>360099</v>
      </c>
    </row>
    <row r="41" spans="1:15" ht="30">
      <c r="A41" s="34" t="s">
        <v>48</v>
      </c>
      <c r="B41" s="35" t="s">
        <v>49</v>
      </c>
      <c r="C41" s="5">
        <v>12965</v>
      </c>
      <c r="D41" s="5">
        <v>10277483</v>
      </c>
      <c r="E41" s="5">
        <v>52202</v>
      </c>
      <c r="F41" s="5">
        <v>264281</v>
      </c>
      <c r="G41" s="184">
        <v>22480</v>
      </c>
      <c r="H41" s="41">
        <v>80570</v>
      </c>
      <c r="I41" s="40">
        <v>134386</v>
      </c>
      <c r="J41" s="40">
        <v>572965</v>
      </c>
      <c r="K41" s="40">
        <v>7700</v>
      </c>
      <c r="L41" s="40">
        <v>11380</v>
      </c>
      <c r="M41" s="40">
        <v>7500</v>
      </c>
      <c r="N41" s="40">
        <v>33800</v>
      </c>
      <c r="O41" s="33">
        <f>SUM(C41:N41)</f>
        <v>11477712</v>
      </c>
    </row>
    <row r="42" spans="1:15" ht="22.5" customHeight="1" thickBot="1">
      <c r="A42" s="69" t="s">
        <v>403</v>
      </c>
      <c r="B42" s="70" t="s">
        <v>417</v>
      </c>
      <c r="C42" s="71">
        <v>9805</v>
      </c>
      <c r="D42" s="71">
        <v>204692</v>
      </c>
      <c r="E42" s="71">
        <v>1</v>
      </c>
      <c r="F42" s="71"/>
      <c r="G42" s="188"/>
      <c r="H42" s="189"/>
      <c r="I42" s="119"/>
      <c r="J42" s="119"/>
      <c r="K42" s="119"/>
      <c r="L42" s="119"/>
      <c r="M42" s="119"/>
      <c r="N42" s="119">
        <v>1200</v>
      </c>
      <c r="O42" s="33">
        <f>SUM(C42:N42)</f>
        <v>215698</v>
      </c>
    </row>
    <row r="43" spans="1:15" ht="15.75" thickBot="1">
      <c r="A43" s="73"/>
      <c r="B43" s="74" t="s">
        <v>50</v>
      </c>
      <c r="C43" s="75">
        <f aca="true" t="shared" si="10" ref="C43:N43">SUM(C8+C18+C26+C27+C29+C33)</f>
        <v>30617438</v>
      </c>
      <c r="D43" s="75">
        <f t="shared" si="10"/>
        <v>12398238</v>
      </c>
      <c r="E43" s="75">
        <f t="shared" si="10"/>
        <v>117303</v>
      </c>
      <c r="F43" s="75">
        <f t="shared" si="10"/>
        <v>285795</v>
      </c>
      <c r="G43" s="75">
        <f t="shared" si="10"/>
        <v>174784</v>
      </c>
      <c r="H43" s="75">
        <f t="shared" si="10"/>
        <v>243035</v>
      </c>
      <c r="I43" s="75">
        <f t="shared" si="10"/>
        <v>184633</v>
      </c>
      <c r="J43" s="75">
        <f t="shared" si="10"/>
        <v>888034</v>
      </c>
      <c r="K43" s="75">
        <f t="shared" si="10"/>
        <v>49445</v>
      </c>
      <c r="L43" s="75">
        <f t="shared" si="10"/>
        <v>58418</v>
      </c>
      <c r="M43" s="75">
        <f t="shared" si="10"/>
        <v>43453</v>
      </c>
      <c r="N43" s="75">
        <f t="shared" si="10"/>
        <v>89358</v>
      </c>
      <c r="O43" s="28">
        <f>SUM(C43:N43)</f>
        <v>45149934</v>
      </c>
    </row>
    <row r="44" spans="1:15" ht="15">
      <c r="A44" s="76" t="s">
        <v>171</v>
      </c>
      <c r="B44" s="77" t="s">
        <v>51</v>
      </c>
      <c r="C44" s="190">
        <f>2267962-491253-167000</f>
        <v>1609709</v>
      </c>
      <c r="D44" s="32"/>
      <c r="E44" s="32"/>
      <c r="F44" s="32"/>
      <c r="G44" s="52"/>
      <c r="H44" s="64"/>
      <c r="I44" s="53"/>
      <c r="J44" s="53"/>
      <c r="K44" s="53"/>
      <c r="L44" s="53"/>
      <c r="M44" s="78"/>
      <c r="N44" s="53"/>
      <c r="O44" s="33">
        <f t="shared" si="2"/>
        <v>1609709</v>
      </c>
    </row>
    <row r="45" spans="1:15" ht="15">
      <c r="A45" s="79"/>
      <c r="B45" s="80" t="s">
        <v>52</v>
      </c>
      <c r="C45" s="81">
        <f aca="true" t="shared" si="11" ref="C45:N45">SUM(C43:C44)</f>
        <v>32227147</v>
      </c>
      <c r="D45" s="82">
        <f t="shared" si="11"/>
        <v>12398238</v>
      </c>
      <c r="E45" s="82">
        <f t="shared" si="11"/>
        <v>117303</v>
      </c>
      <c r="F45" s="82">
        <f t="shared" si="11"/>
        <v>285795</v>
      </c>
      <c r="G45" s="82">
        <f t="shared" si="11"/>
        <v>174784</v>
      </c>
      <c r="H45" s="82">
        <f t="shared" si="11"/>
        <v>243035</v>
      </c>
      <c r="I45" s="82">
        <f t="shared" si="11"/>
        <v>184633</v>
      </c>
      <c r="J45" s="82">
        <f t="shared" si="11"/>
        <v>888034</v>
      </c>
      <c r="K45" s="82">
        <f t="shared" si="11"/>
        <v>49445</v>
      </c>
      <c r="L45" s="82">
        <f t="shared" si="11"/>
        <v>58418</v>
      </c>
      <c r="M45" s="83">
        <f t="shared" si="11"/>
        <v>43453</v>
      </c>
      <c r="N45" s="82">
        <f t="shared" si="11"/>
        <v>89358</v>
      </c>
      <c r="O45" s="33">
        <f t="shared" si="2"/>
        <v>46759643</v>
      </c>
    </row>
    <row r="46" spans="1:15" ht="15">
      <c r="A46" s="11" t="s">
        <v>469</v>
      </c>
      <c r="B46" s="10" t="s">
        <v>418</v>
      </c>
      <c r="C46" s="84">
        <v>4161322</v>
      </c>
      <c r="D46" s="5">
        <v>2339407</v>
      </c>
      <c r="E46" s="5">
        <v>139815</v>
      </c>
      <c r="F46" s="5">
        <v>5402</v>
      </c>
      <c r="G46" s="41">
        <f>152850-5402</f>
        <v>147448</v>
      </c>
      <c r="H46" s="41">
        <v>63971</v>
      </c>
      <c r="I46" s="54">
        <v>60976</v>
      </c>
      <c r="J46" s="54">
        <v>321528</v>
      </c>
      <c r="K46" s="54">
        <v>14216</v>
      </c>
      <c r="L46" s="54">
        <v>7148</v>
      </c>
      <c r="M46" s="57">
        <v>38956</v>
      </c>
      <c r="N46" s="54">
        <v>70227</v>
      </c>
      <c r="O46" s="33">
        <f t="shared" si="2"/>
        <v>7370416</v>
      </c>
    </row>
    <row r="47" spans="1:15" ht="15">
      <c r="A47" s="11" t="s">
        <v>214</v>
      </c>
      <c r="B47" s="12" t="s">
        <v>215</v>
      </c>
      <c r="C47" s="84"/>
      <c r="D47" s="5"/>
      <c r="E47" s="5"/>
      <c r="F47" s="5"/>
      <c r="G47" s="41"/>
      <c r="H47" s="41"/>
      <c r="I47" s="54"/>
      <c r="J47" s="54"/>
      <c r="K47" s="54"/>
      <c r="L47" s="54"/>
      <c r="M47" s="57"/>
      <c r="N47" s="54"/>
      <c r="O47" s="33">
        <f t="shared" si="2"/>
        <v>0</v>
      </c>
    </row>
    <row r="48" spans="1:15" ht="15">
      <c r="A48" s="79"/>
      <c r="B48" s="10" t="s">
        <v>53</v>
      </c>
      <c r="C48" s="81">
        <f>SUM(C45:C46)</f>
        <v>36388469</v>
      </c>
      <c r="D48" s="82">
        <f>SUM(D45:D46)</f>
        <v>14737645</v>
      </c>
      <c r="E48" s="82">
        <f>SUM(E45:E46)</f>
        <v>257118</v>
      </c>
      <c r="F48" s="82">
        <f>SUM(F45:F46)</f>
        <v>291197</v>
      </c>
      <c r="G48" s="82">
        <f aca="true" t="shared" si="12" ref="G48:N48">SUM(G45:G47)</f>
        <v>322232</v>
      </c>
      <c r="H48" s="82">
        <f t="shared" si="12"/>
        <v>307006</v>
      </c>
      <c r="I48" s="82">
        <f t="shared" si="12"/>
        <v>245609</v>
      </c>
      <c r="J48" s="82">
        <f t="shared" si="12"/>
        <v>1209562</v>
      </c>
      <c r="K48" s="82">
        <f t="shared" si="12"/>
        <v>63661</v>
      </c>
      <c r="L48" s="82">
        <f t="shared" si="12"/>
        <v>65566</v>
      </c>
      <c r="M48" s="82">
        <f t="shared" si="12"/>
        <v>82409</v>
      </c>
      <c r="N48" s="82">
        <f t="shared" si="12"/>
        <v>159585</v>
      </c>
      <c r="O48" s="33">
        <f t="shared" si="2"/>
        <v>54130059</v>
      </c>
    </row>
    <row r="49" spans="1:15" ht="15">
      <c r="A49" s="85"/>
      <c r="B49" s="3"/>
      <c r="C49" s="86"/>
      <c r="D49" s="87"/>
      <c r="E49" s="87"/>
      <c r="F49" s="87"/>
      <c r="G49" s="88"/>
      <c r="H49" s="88"/>
      <c r="I49" s="88"/>
      <c r="J49" s="88"/>
      <c r="K49" s="88"/>
      <c r="L49" s="88"/>
      <c r="M49" s="88"/>
      <c r="N49" s="88"/>
      <c r="O49" s="88"/>
    </row>
    <row r="50" spans="1:15" ht="15">
      <c r="A50" s="85"/>
      <c r="B50" s="3"/>
      <c r="C50" s="191"/>
      <c r="D50" s="87"/>
      <c r="E50" s="87"/>
      <c r="F50" s="87"/>
      <c r="G50" s="88"/>
      <c r="H50" s="88"/>
      <c r="I50" s="88"/>
      <c r="J50" s="88"/>
      <c r="K50" s="88"/>
      <c r="L50" s="88"/>
      <c r="M50" s="88"/>
      <c r="N50" s="88"/>
      <c r="O50" s="88"/>
    </row>
    <row r="51" spans="2:4" ht="15">
      <c r="B51" s="220" t="s">
        <v>462</v>
      </c>
      <c r="D51" s="14" t="s">
        <v>23</v>
      </c>
    </row>
    <row r="52" ht="15">
      <c r="B52" s="89"/>
    </row>
    <row r="53" ht="15">
      <c r="B53" s="89"/>
    </row>
    <row r="54" spans="1:6" ht="15">
      <c r="A54" s="85"/>
      <c r="B54" s="3"/>
      <c r="D54" s="90"/>
      <c r="E54" s="15" t="s">
        <v>54</v>
      </c>
      <c r="F54" s="15"/>
    </row>
    <row r="55" spans="1:6" ht="15">
      <c r="A55" s="85"/>
      <c r="B55" s="3"/>
      <c r="E55" s="17" t="s">
        <v>12</v>
      </c>
      <c r="F55" s="17"/>
    </row>
    <row r="56" spans="1:6" ht="15">
      <c r="A56" s="91"/>
      <c r="B56" s="92"/>
      <c r="E56" s="17" t="s">
        <v>506</v>
      </c>
      <c r="F56" s="17"/>
    </row>
    <row r="57" spans="1:6" ht="15">
      <c r="A57" s="91"/>
      <c r="B57" s="92"/>
      <c r="E57" s="17"/>
      <c r="F57" s="17"/>
    </row>
    <row r="58" spans="1:4" ht="39.75" customHeight="1" thickBot="1">
      <c r="A58" s="225" t="s">
        <v>419</v>
      </c>
      <c r="B58" s="225"/>
      <c r="C58" s="225"/>
      <c r="D58" s="225"/>
    </row>
    <row r="59" spans="1:15" ht="105.75" thickBot="1">
      <c r="A59" s="20" t="s">
        <v>10</v>
      </c>
      <c r="B59" s="21" t="s">
        <v>149</v>
      </c>
      <c r="C59" s="181" t="s">
        <v>405</v>
      </c>
      <c r="D59" s="182" t="s">
        <v>406</v>
      </c>
      <c r="E59" s="22" t="s">
        <v>407</v>
      </c>
      <c r="F59" s="22" t="s">
        <v>457</v>
      </c>
      <c r="G59" s="23" t="s">
        <v>408</v>
      </c>
      <c r="H59" s="23" t="s">
        <v>409</v>
      </c>
      <c r="I59" s="23" t="s">
        <v>410</v>
      </c>
      <c r="J59" s="23" t="s">
        <v>411</v>
      </c>
      <c r="K59" s="23" t="s">
        <v>412</v>
      </c>
      <c r="L59" s="23" t="s">
        <v>413</v>
      </c>
      <c r="M59" s="23" t="s">
        <v>414</v>
      </c>
      <c r="N59" s="183" t="s">
        <v>415</v>
      </c>
      <c r="O59" s="24" t="s">
        <v>416</v>
      </c>
    </row>
    <row r="60" spans="1:15" ht="15.75" thickBot="1">
      <c r="A60" s="93" t="s">
        <v>55</v>
      </c>
      <c r="B60" s="26" t="s">
        <v>56</v>
      </c>
      <c r="C60" s="49">
        <f aca="true" t="shared" si="13" ref="C60:N60">C61+C62+C64+C65+C69</f>
        <v>3350800</v>
      </c>
      <c r="D60" s="49">
        <f t="shared" si="13"/>
        <v>0</v>
      </c>
      <c r="E60" s="49">
        <f t="shared" si="13"/>
        <v>0</v>
      </c>
      <c r="F60" s="49">
        <f t="shared" si="13"/>
        <v>0</v>
      </c>
      <c r="G60" s="27">
        <f t="shared" si="13"/>
        <v>152509</v>
      </c>
      <c r="H60" s="49">
        <f t="shared" si="13"/>
        <v>94560</v>
      </c>
      <c r="I60" s="49">
        <f t="shared" si="13"/>
        <v>94813</v>
      </c>
      <c r="J60" s="49">
        <f t="shared" si="13"/>
        <v>178776</v>
      </c>
      <c r="K60" s="49">
        <f t="shared" si="13"/>
        <v>97382</v>
      </c>
      <c r="L60" s="49">
        <f t="shared" si="13"/>
        <v>56728</v>
      </c>
      <c r="M60" s="49">
        <f t="shared" si="13"/>
        <v>62289</v>
      </c>
      <c r="N60" s="49">
        <f t="shared" si="13"/>
        <v>102984</v>
      </c>
      <c r="O60" s="28">
        <f>SUM(C60:N60)</f>
        <v>4190841</v>
      </c>
    </row>
    <row r="61" spans="1:15" ht="29.25">
      <c r="A61" s="94" t="s">
        <v>230</v>
      </c>
      <c r="B61" s="95" t="s">
        <v>231</v>
      </c>
      <c r="C61" s="96">
        <f>2470958+33388+4048</f>
        <v>2508394</v>
      </c>
      <c r="D61" s="32"/>
      <c r="E61" s="32"/>
      <c r="F61" s="32"/>
      <c r="G61" s="51">
        <v>151438</v>
      </c>
      <c r="H61" s="152">
        <v>94150</v>
      </c>
      <c r="I61" s="152">
        <v>90984</v>
      </c>
      <c r="J61" s="192">
        <v>168907</v>
      </c>
      <c r="K61" s="152">
        <v>97382</v>
      </c>
      <c r="L61" s="152">
        <v>56188</v>
      </c>
      <c r="M61" s="152">
        <v>59417</v>
      </c>
      <c r="N61" s="97">
        <v>98182</v>
      </c>
      <c r="O61" s="99">
        <f>SUM(C61:N61)</f>
        <v>3325042</v>
      </c>
    </row>
    <row r="62" spans="1:15" ht="15">
      <c r="A62" s="100" t="s">
        <v>57</v>
      </c>
      <c r="B62" s="66" t="s">
        <v>58</v>
      </c>
      <c r="C62" s="101">
        <f>SUM(C63:C63)</f>
        <v>150000</v>
      </c>
      <c r="D62" s="101">
        <f>SUM(D63:D63)</f>
        <v>0</v>
      </c>
      <c r="E62" s="101">
        <f>SUM(E63:E63)</f>
        <v>0</v>
      </c>
      <c r="F62" s="101">
        <f>SUM(F63:F63)</f>
        <v>0</v>
      </c>
      <c r="G62" s="8">
        <f aca="true" t="shared" si="14" ref="G62:N62">SUM(G63:G63)</f>
        <v>1071</v>
      </c>
      <c r="H62" s="8">
        <f t="shared" si="14"/>
        <v>410</v>
      </c>
      <c r="I62" s="8">
        <f t="shared" si="14"/>
        <v>3617</v>
      </c>
      <c r="J62" s="101">
        <f t="shared" si="14"/>
        <v>937</v>
      </c>
      <c r="K62" s="101">
        <f t="shared" si="14"/>
        <v>0</v>
      </c>
      <c r="L62" s="101">
        <f t="shared" si="14"/>
        <v>540</v>
      </c>
      <c r="M62" s="101">
        <f t="shared" si="14"/>
        <v>2872</v>
      </c>
      <c r="N62" s="101">
        <f t="shared" si="14"/>
        <v>4802</v>
      </c>
      <c r="O62" s="102">
        <f aca="true" t="shared" si="15" ref="O62:O124">SUM(C62:N62)</f>
        <v>164249</v>
      </c>
    </row>
    <row r="63" spans="1:15" ht="30">
      <c r="A63" s="103" t="s">
        <v>59</v>
      </c>
      <c r="B63" s="35" t="s">
        <v>60</v>
      </c>
      <c r="C63" s="36">
        <v>150000</v>
      </c>
      <c r="D63" s="5"/>
      <c r="E63" s="5"/>
      <c r="F63" s="5"/>
      <c r="G63" s="54">
        <v>1071</v>
      </c>
      <c r="H63" s="41">
        <v>410</v>
      </c>
      <c r="I63" s="41">
        <v>3617</v>
      </c>
      <c r="J63" s="54">
        <v>937</v>
      </c>
      <c r="K63" s="54"/>
      <c r="L63" s="54">
        <v>540</v>
      </c>
      <c r="M63" s="54">
        <v>2872</v>
      </c>
      <c r="N63" s="54">
        <v>4802</v>
      </c>
      <c r="O63" s="102">
        <f t="shared" si="15"/>
        <v>164249</v>
      </c>
    </row>
    <row r="64" spans="1:15" ht="29.25">
      <c r="A64" s="100" t="s">
        <v>232</v>
      </c>
      <c r="B64" s="105" t="s">
        <v>233</v>
      </c>
      <c r="C64" s="36">
        <f>1516+1182+3729</f>
        <v>6427</v>
      </c>
      <c r="D64" s="36"/>
      <c r="E64" s="5"/>
      <c r="F64" s="5"/>
      <c r="G64" s="54"/>
      <c r="H64" s="55"/>
      <c r="I64" s="55"/>
      <c r="J64" s="57"/>
      <c r="K64" s="57"/>
      <c r="L64" s="57"/>
      <c r="M64" s="57"/>
      <c r="N64" s="57"/>
      <c r="O64" s="102">
        <f t="shared" si="15"/>
        <v>6427</v>
      </c>
    </row>
    <row r="65" spans="1:15" ht="43.5">
      <c r="A65" s="100" t="s">
        <v>61</v>
      </c>
      <c r="B65" s="105" t="s">
        <v>62</v>
      </c>
      <c r="C65" s="101">
        <f aca="true" t="shared" si="16" ref="C65:N65">SUM(C66:C68)</f>
        <v>614000</v>
      </c>
      <c r="D65" s="101">
        <f t="shared" si="16"/>
        <v>0</v>
      </c>
      <c r="E65" s="101">
        <f t="shared" si="16"/>
        <v>0</v>
      </c>
      <c r="F65" s="101">
        <f t="shared" si="16"/>
        <v>0</v>
      </c>
      <c r="G65" s="101">
        <f t="shared" si="16"/>
        <v>0</v>
      </c>
      <c r="H65" s="101">
        <f t="shared" si="16"/>
        <v>0</v>
      </c>
      <c r="I65" s="101">
        <f t="shared" si="16"/>
        <v>0</v>
      </c>
      <c r="J65" s="101">
        <f t="shared" si="16"/>
        <v>8212</v>
      </c>
      <c r="K65" s="101">
        <f t="shared" si="16"/>
        <v>0</v>
      </c>
      <c r="L65" s="101">
        <f t="shared" si="16"/>
        <v>0</v>
      </c>
      <c r="M65" s="101">
        <f t="shared" si="16"/>
        <v>0</v>
      </c>
      <c r="N65" s="101">
        <f t="shared" si="16"/>
        <v>0</v>
      </c>
      <c r="O65" s="102">
        <f>SUM(C65:N65)</f>
        <v>622212</v>
      </c>
    </row>
    <row r="66" spans="1:15" ht="30">
      <c r="A66" s="107" t="s">
        <v>420</v>
      </c>
      <c r="B66" s="35" t="s">
        <v>63</v>
      </c>
      <c r="C66" s="36">
        <v>445500</v>
      </c>
      <c r="D66" s="5"/>
      <c r="E66" s="5"/>
      <c r="F66" s="5"/>
      <c r="G66" s="41"/>
      <c r="H66" s="41"/>
      <c r="I66" s="41"/>
      <c r="J66" s="54"/>
      <c r="K66" s="54"/>
      <c r="L66" s="54"/>
      <c r="M66" s="54"/>
      <c r="N66" s="57"/>
      <c r="O66" s="102">
        <f t="shared" si="15"/>
        <v>445500</v>
      </c>
    </row>
    <row r="67" spans="1:15" ht="30">
      <c r="A67" s="107" t="s">
        <v>234</v>
      </c>
      <c r="B67" s="35" t="s">
        <v>421</v>
      </c>
      <c r="C67" s="45">
        <v>18500</v>
      </c>
      <c r="D67" s="44"/>
      <c r="E67" s="44"/>
      <c r="F67" s="44"/>
      <c r="G67" s="178"/>
      <c r="H67" s="178"/>
      <c r="I67" s="178"/>
      <c r="J67" s="47">
        <v>8212</v>
      </c>
      <c r="K67" s="47"/>
      <c r="L67" s="47"/>
      <c r="M67" s="47"/>
      <c r="N67" s="185"/>
      <c r="O67" s="102">
        <f t="shared" si="15"/>
        <v>26712</v>
      </c>
    </row>
    <row r="68" spans="1:15" ht="45">
      <c r="A68" s="107" t="s">
        <v>422</v>
      </c>
      <c r="B68" s="43" t="s">
        <v>402</v>
      </c>
      <c r="C68" s="45">
        <v>150000</v>
      </c>
      <c r="D68" s="44"/>
      <c r="E68" s="44"/>
      <c r="F68" s="44"/>
      <c r="G68" s="178"/>
      <c r="H68" s="178"/>
      <c r="I68" s="178"/>
      <c r="J68" s="47"/>
      <c r="K68" s="47"/>
      <c r="L68" s="47"/>
      <c r="M68" s="47"/>
      <c r="N68" s="185"/>
      <c r="O68" s="102">
        <f t="shared" si="15"/>
        <v>150000</v>
      </c>
    </row>
    <row r="69" spans="1:15" s="16" customFormat="1" ht="15" thickBot="1">
      <c r="A69" s="108" t="s">
        <v>64</v>
      </c>
      <c r="B69" s="109" t="s">
        <v>235</v>
      </c>
      <c r="C69" s="221">
        <f>380000-86969-16269-5000-199783</f>
        <v>71979</v>
      </c>
      <c r="D69" s="110"/>
      <c r="E69" s="110"/>
      <c r="F69" s="110"/>
      <c r="G69" s="193"/>
      <c r="H69" s="111"/>
      <c r="I69" s="112">
        <v>212</v>
      </c>
      <c r="J69" s="113">
        <v>720</v>
      </c>
      <c r="K69" s="113"/>
      <c r="L69" s="113"/>
      <c r="M69" s="113"/>
      <c r="N69" s="194"/>
      <c r="O69" s="114">
        <f>SUM(C69:N69)</f>
        <v>72911</v>
      </c>
    </row>
    <row r="70" spans="1:15" ht="15.75" thickBot="1">
      <c r="A70" s="115" t="s">
        <v>65</v>
      </c>
      <c r="B70" s="26" t="s">
        <v>66</v>
      </c>
      <c r="C70" s="49">
        <f>SUM(C71:C73)</f>
        <v>1413992</v>
      </c>
      <c r="D70" s="49">
        <f>SUM(D71:D73)</f>
        <v>0</v>
      </c>
      <c r="E70" s="49">
        <f>SUM(E71:E73)</f>
        <v>0</v>
      </c>
      <c r="F70" s="49">
        <f>SUM(F71:F73)</f>
        <v>0</v>
      </c>
      <c r="G70" s="27">
        <f aca="true" t="shared" si="17" ref="G70:N70">SUM(G71:G73)</f>
        <v>4826</v>
      </c>
      <c r="H70" s="27">
        <f t="shared" si="17"/>
        <v>0</v>
      </c>
      <c r="I70" s="27">
        <f t="shared" si="17"/>
        <v>0</v>
      </c>
      <c r="J70" s="49">
        <f t="shared" si="17"/>
        <v>4166</v>
      </c>
      <c r="K70" s="49">
        <f t="shared" si="17"/>
        <v>0</v>
      </c>
      <c r="L70" s="49">
        <f t="shared" si="17"/>
        <v>0</v>
      </c>
      <c r="M70" s="49">
        <f t="shared" si="17"/>
        <v>0</v>
      </c>
      <c r="N70" s="49">
        <f t="shared" si="17"/>
        <v>10269</v>
      </c>
      <c r="O70" s="28">
        <f>SUM(C70:N70)</f>
        <v>1433253</v>
      </c>
    </row>
    <row r="71" spans="1:15" ht="15">
      <c r="A71" s="94" t="s">
        <v>236</v>
      </c>
      <c r="B71" s="95" t="s">
        <v>20</v>
      </c>
      <c r="C71" s="50">
        <f>592342+4500</f>
        <v>596842</v>
      </c>
      <c r="D71" s="32"/>
      <c r="E71" s="32"/>
      <c r="F71" s="32"/>
      <c r="G71" s="52"/>
      <c r="H71" s="64"/>
      <c r="I71" s="64"/>
      <c r="J71" s="53"/>
      <c r="K71" s="53"/>
      <c r="L71" s="53"/>
      <c r="M71" s="53"/>
      <c r="N71" s="78"/>
      <c r="O71" s="116">
        <f t="shared" si="15"/>
        <v>596842</v>
      </c>
    </row>
    <row r="72" spans="1:15" ht="29.25">
      <c r="A72" s="117" t="s">
        <v>346</v>
      </c>
      <c r="B72" s="118" t="s">
        <v>356</v>
      </c>
      <c r="C72" s="72">
        <f>692992+9350+105228</f>
        <v>807570</v>
      </c>
      <c r="D72" s="71"/>
      <c r="E72" s="71"/>
      <c r="F72" s="71"/>
      <c r="G72" s="189"/>
      <c r="H72" s="120"/>
      <c r="I72" s="120"/>
      <c r="J72" s="121"/>
      <c r="K72" s="121"/>
      <c r="L72" s="121"/>
      <c r="M72" s="121"/>
      <c r="N72" s="134"/>
      <c r="O72" s="33">
        <f t="shared" si="15"/>
        <v>807570</v>
      </c>
    </row>
    <row r="73" spans="1:15" s="16" customFormat="1" ht="43.5" thickBot="1">
      <c r="A73" s="122" t="s">
        <v>67</v>
      </c>
      <c r="B73" s="109" t="s">
        <v>237</v>
      </c>
      <c r="C73" s="110">
        <v>9580</v>
      </c>
      <c r="D73" s="110"/>
      <c r="E73" s="110"/>
      <c r="F73" s="110"/>
      <c r="G73" s="112">
        <v>4826</v>
      </c>
      <c r="H73" s="111"/>
      <c r="I73" s="111"/>
      <c r="J73" s="113">
        <v>4166</v>
      </c>
      <c r="K73" s="113"/>
      <c r="L73" s="113"/>
      <c r="M73" s="113"/>
      <c r="N73" s="194">
        <v>10269</v>
      </c>
      <c r="O73" s="114">
        <f t="shared" si="15"/>
        <v>28841</v>
      </c>
    </row>
    <row r="74" spans="1:15" ht="15.75" thickBot="1">
      <c r="A74" s="115" t="s">
        <v>1</v>
      </c>
      <c r="B74" s="26" t="s">
        <v>68</v>
      </c>
      <c r="C74" s="49">
        <f aca="true" t="shared" si="18" ref="C74:N74">SUM(C75,C84:C87,C93,C95)</f>
        <v>840847</v>
      </c>
      <c r="D74" s="49">
        <f t="shared" si="18"/>
        <v>437878</v>
      </c>
      <c r="E74" s="49">
        <f t="shared" si="18"/>
        <v>0</v>
      </c>
      <c r="F74" s="49">
        <f t="shared" si="18"/>
        <v>0</v>
      </c>
      <c r="G74" s="27">
        <f t="shared" si="18"/>
        <v>42561</v>
      </c>
      <c r="H74" s="49">
        <f t="shared" si="18"/>
        <v>13759</v>
      </c>
      <c r="I74" s="49">
        <f t="shared" si="18"/>
        <v>14683</v>
      </c>
      <c r="J74" s="49">
        <f t="shared" si="18"/>
        <v>110780</v>
      </c>
      <c r="K74" s="49">
        <f t="shared" si="18"/>
        <v>0</v>
      </c>
      <c r="L74" s="49">
        <f t="shared" si="18"/>
        <v>0</v>
      </c>
      <c r="M74" s="49">
        <f t="shared" si="18"/>
        <v>2420</v>
      </c>
      <c r="N74" s="49">
        <f t="shared" si="18"/>
        <v>5183</v>
      </c>
      <c r="O74" s="28">
        <f aca="true" t="shared" si="19" ref="O74:O83">SUM(C74:N74)</f>
        <v>1468111</v>
      </c>
    </row>
    <row r="75" spans="1:15" ht="15">
      <c r="A75" s="94" t="s">
        <v>69</v>
      </c>
      <c r="B75" s="123" t="s">
        <v>70</v>
      </c>
      <c r="C75" s="96">
        <f>SUM(C76:C83)</f>
        <v>55730</v>
      </c>
      <c r="D75" s="96">
        <f aca="true" t="shared" si="20" ref="D75:N75">SUM(D76:D83)</f>
        <v>0</v>
      </c>
      <c r="E75" s="96">
        <f t="shared" si="20"/>
        <v>0</v>
      </c>
      <c r="F75" s="96">
        <f t="shared" si="20"/>
        <v>0</v>
      </c>
      <c r="G75" s="96">
        <f t="shared" si="20"/>
        <v>0</v>
      </c>
      <c r="H75" s="96">
        <f t="shared" si="20"/>
        <v>0</v>
      </c>
      <c r="I75" s="96">
        <f t="shared" si="20"/>
        <v>1338</v>
      </c>
      <c r="J75" s="96">
        <f t="shared" si="20"/>
        <v>0</v>
      </c>
      <c r="K75" s="96">
        <f t="shared" si="20"/>
        <v>0</v>
      </c>
      <c r="L75" s="96">
        <f t="shared" si="20"/>
        <v>0</v>
      </c>
      <c r="M75" s="96">
        <f t="shared" si="20"/>
        <v>0</v>
      </c>
      <c r="N75" s="96">
        <f t="shared" si="20"/>
        <v>0</v>
      </c>
      <c r="O75" s="116">
        <f>SUM(C75:N75)</f>
        <v>57068</v>
      </c>
    </row>
    <row r="76" spans="1:15" ht="15">
      <c r="A76" s="124" t="s">
        <v>238</v>
      </c>
      <c r="B76" s="53" t="s">
        <v>239</v>
      </c>
      <c r="C76" s="50">
        <f>7153-2459</f>
        <v>4694</v>
      </c>
      <c r="D76" s="32"/>
      <c r="E76" s="32"/>
      <c r="F76" s="32"/>
      <c r="G76" s="64"/>
      <c r="H76" s="64"/>
      <c r="I76" s="52">
        <v>1338</v>
      </c>
      <c r="J76" s="53"/>
      <c r="K76" s="53"/>
      <c r="L76" s="53"/>
      <c r="M76" s="53"/>
      <c r="N76" s="78"/>
      <c r="O76" s="48">
        <f>SUM(C76:N76)</f>
        <v>6032</v>
      </c>
    </row>
    <row r="77" spans="1:15" ht="15">
      <c r="A77" s="124" t="s">
        <v>240</v>
      </c>
      <c r="B77" s="125" t="s">
        <v>241</v>
      </c>
      <c r="C77" s="50"/>
      <c r="D77" s="32"/>
      <c r="E77" s="32"/>
      <c r="F77" s="32"/>
      <c r="G77" s="64"/>
      <c r="H77" s="64"/>
      <c r="I77" s="64"/>
      <c r="J77" s="53"/>
      <c r="K77" s="53"/>
      <c r="L77" s="53"/>
      <c r="M77" s="53"/>
      <c r="N77" s="78"/>
      <c r="O77" s="102">
        <f t="shared" si="19"/>
        <v>0</v>
      </c>
    </row>
    <row r="78" spans="1:15" ht="30">
      <c r="A78" s="124" t="s">
        <v>242</v>
      </c>
      <c r="B78" s="126" t="s">
        <v>243</v>
      </c>
      <c r="C78" s="50">
        <v>25000</v>
      </c>
      <c r="D78" s="32"/>
      <c r="E78" s="32"/>
      <c r="F78" s="32"/>
      <c r="G78" s="64"/>
      <c r="H78" s="64"/>
      <c r="I78" s="64"/>
      <c r="J78" s="53"/>
      <c r="K78" s="53"/>
      <c r="L78" s="53"/>
      <c r="M78" s="53"/>
      <c r="N78" s="78"/>
      <c r="O78" s="102">
        <f t="shared" si="19"/>
        <v>25000</v>
      </c>
    </row>
    <row r="79" spans="1:15" ht="15">
      <c r="A79" s="124" t="s">
        <v>244</v>
      </c>
      <c r="B79" s="126" t="s">
        <v>245</v>
      </c>
      <c r="C79" s="50"/>
      <c r="D79" s="32"/>
      <c r="E79" s="32"/>
      <c r="F79" s="32"/>
      <c r="G79" s="64"/>
      <c r="H79" s="64"/>
      <c r="I79" s="64"/>
      <c r="J79" s="53"/>
      <c r="K79" s="53"/>
      <c r="L79" s="53"/>
      <c r="M79" s="53"/>
      <c r="N79" s="78"/>
      <c r="O79" s="102">
        <f t="shared" si="19"/>
        <v>0</v>
      </c>
    </row>
    <row r="80" spans="1:15" ht="15">
      <c r="A80" s="124" t="s">
        <v>246</v>
      </c>
      <c r="B80" s="126" t="s">
        <v>423</v>
      </c>
      <c r="C80" s="36"/>
      <c r="D80" s="5"/>
      <c r="E80" s="5"/>
      <c r="F80" s="5"/>
      <c r="G80" s="54"/>
      <c r="H80" s="55"/>
      <c r="I80" s="55"/>
      <c r="J80" s="54"/>
      <c r="K80" s="54"/>
      <c r="L80" s="54"/>
      <c r="M80" s="54"/>
      <c r="N80" s="57"/>
      <c r="O80" s="102">
        <f t="shared" si="19"/>
        <v>0</v>
      </c>
    </row>
    <row r="81" spans="1:15" ht="45">
      <c r="A81" s="124" t="s">
        <v>424</v>
      </c>
      <c r="B81" s="130" t="s">
        <v>425</v>
      </c>
      <c r="C81" s="36">
        <v>12946</v>
      </c>
      <c r="D81" s="5"/>
      <c r="E81" s="5"/>
      <c r="F81" s="5"/>
      <c r="G81" s="54"/>
      <c r="H81" s="55"/>
      <c r="I81" s="55"/>
      <c r="J81" s="54"/>
      <c r="K81" s="54"/>
      <c r="L81" s="54"/>
      <c r="M81" s="54"/>
      <c r="N81" s="57"/>
      <c r="O81" s="102">
        <f t="shared" si="19"/>
        <v>12946</v>
      </c>
    </row>
    <row r="82" spans="1:15" ht="15">
      <c r="A82" s="124" t="s">
        <v>426</v>
      </c>
      <c r="B82" s="130" t="s">
        <v>427</v>
      </c>
      <c r="C82" s="36">
        <v>8090</v>
      </c>
      <c r="D82" s="5"/>
      <c r="E82" s="5"/>
      <c r="F82" s="5"/>
      <c r="G82" s="54"/>
      <c r="H82" s="55"/>
      <c r="I82" s="55"/>
      <c r="J82" s="54"/>
      <c r="K82" s="54"/>
      <c r="L82" s="54"/>
      <c r="M82" s="54"/>
      <c r="N82" s="57"/>
      <c r="O82" s="102">
        <f t="shared" si="19"/>
        <v>8090</v>
      </c>
    </row>
    <row r="83" spans="1:15" ht="15">
      <c r="A83" s="124" t="s">
        <v>428</v>
      </c>
      <c r="B83" s="130" t="s">
        <v>429</v>
      </c>
      <c r="C83" s="36">
        <v>5000</v>
      </c>
      <c r="D83" s="5"/>
      <c r="E83" s="5"/>
      <c r="F83" s="5"/>
      <c r="G83" s="54"/>
      <c r="H83" s="55"/>
      <c r="I83" s="55"/>
      <c r="J83" s="54"/>
      <c r="K83" s="54"/>
      <c r="L83" s="54"/>
      <c r="M83" s="54"/>
      <c r="N83" s="57"/>
      <c r="O83" s="102">
        <f t="shared" si="19"/>
        <v>5000</v>
      </c>
    </row>
    <row r="84" spans="1:15" ht="15">
      <c r="A84" s="100" t="s">
        <v>71</v>
      </c>
      <c r="B84" s="66" t="s">
        <v>247</v>
      </c>
      <c r="C84" s="101"/>
      <c r="D84" s="8"/>
      <c r="E84" s="8"/>
      <c r="F84" s="8"/>
      <c r="G84" s="55"/>
      <c r="H84" s="55"/>
      <c r="I84" s="55"/>
      <c r="J84" s="54">
        <v>626</v>
      </c>
      <c r="K84" s="54"/>
      <c r="L84" s="54"/>
      <c r="M84" s="54">
        <v>2420</v>
      </c>
      <c r="N84" s="57"/>
      <c r="O84" s="102">
        <f t="shared" si="15"/>
        <v>3046</v>
      </c>
    </row>
    <row r="85" spans="1:15" ht="15">
      <c r="A85" s="94" t="s">
        <v>72</v>
      </c>
      <c r="B85" s="95" t="s">
        <v>73</v>
      </c>
      <c r="C85" s="96">
        <v>14060</v>
      </c>
      <c r="D85" s="5"/>
      <c r="E85" s="5"/>
      <c r="F85" s="5"/>
      <c r="G85" s="55"/>
      <c r="H85" s="55"/>
      <c r="I85" s="55"/>
      <c r="J85" s="54">
        <v>3460</v>
      </c>
      <c r="K85" s="54"/>
      <c r="L85" s="54"/>
      <c r="M85" s="54"/>
      <c r="N85" s="57"/>
      <c r="O85" s="102">
        <f t="shared" si="15"/>
        <v>17520</v>
      </c>
    </row>
    <row r="86" spans="1:15" ht="15">
      <c r="A86" s="94" t="s">
        <v>172</v>
      </c>
      <c r="B86" s="95" t="s">
        <v>173</v>
      </c>
      <c r="C86" s="96">
        <f>391346+300</f>
        <v>391646</v>
      </c>
      <c r="D86" s="36"/>
      <c r="E86" s="5"/>
      <c r="F86" s="5"/>
      <c r="G86" s="55"/>
      <c r="H86" s="55"/>
      <c r="I86" s="55"/>
      <c r="J86" s="54">
        <v>46538</v>
      </c>
      <c r="K86" s="57"/>
      <c r="L86" s="57"/>
      <c r="M86" s="57"/>
      <c r="N86" s="57"/>
      <c r="O86" s="102">
        <f t="shared" si="15"/>
        <v>438184</v>
      </c>
    </row>
    <row r="87" spans="1:15" ht="15">
      <c r="A87" s="100" t="s">
        <v>74</v>
      </c>
      <c r="B87" s="66" t="s">
        <v>75</v>
      </c>
      <c r="C87" s="101">
        <f>SUM(C88:C92)</f>
        <v>366170</v>
      </c>
      <c r="D87" s="101">
        <f>SUM(D88:D92)</f>
        <v>437878</v>
      </c>
      <c r="E87" s="101">
        <f>SUM(E88:E92)</f>
        <v>0</v>
      </c>
      <c r="F87" s="101">
        <f>SUM(F88:F92)</f>
        <v>0</v>
      </c>
      <c r="G87" s="8">
        <f aca="true" t="shared" si="21" ref="G87:N87">SUM(G88:G92)</f>
        <v>42561</v>
      </c>
      <c r="H87" s="101">
        <f t="shared" si="21"/>
        <v>13759</v>
      </c>
      <c r="I87" s="101">
        <f t="shared" si="21"/>
        <v>13345</v>
      </c>
      <c r="J87" s="101">
        <f t="shared" si="21"/>
        <v>60156</v>
      </c>
      <c r="K87" s="101">
        <f t="shared" si="21"/>
        <v>0</v>
      </c>
      <c r="L87" s="101">
        <f t="shared" si="21"/>
        <v>0</v>
      </c>
      <c r="M87" s="101">
        <f t="shared" si="21"/>
        <v>0</v>
      </c>
      <c r="N87" s="101">
        <f t="shared" si="21"/>
        <v>5183</v>
      </c>
      <c r="O87" s="102">
        <f t="shared" si="15"/>
        <v>939052</v>
      </c>
    </row>
    <row r="88" spans="1:15" ht="15">
      <c r="A88" s="103" t="s">
        <v>248</v>
      </c>
      <c r="B88" s="35" t="s">
        <v>76</v>
      </c>
      <c r="C88" s="36">
        <f>166216+199954</f>
        <v>366170</v>
      </c>
      <c r="D88" s="5">
        <f>346422-248970+25000</f>
        <v>122452</v>
      </c>
      <c r="E88" s="5"/>
      <c r="F88" s="5"/>
      <c r="G88" s="41"/>
      <c r="H88" s="55"/>
      <c r="I88" s="41">
        <v>2872</v>
      </c>
      <c r="J88" s="54"/>
      <c r="K88" s="54"/>
      <c r="L88" s="54"/>
      <c r="M88" s="54"/>
      <c r="N88" s="57">
        <v>5183</v>
      </c>
      <c r="O88" s="102">
        <f t="shared" si="15"/>
        <v>496677</v>
      </c>
    </row>
    <row r="89" spans="1:15" ht="30">
      <c r="A89" s="103" t="s">
        <v>249</v>
      </c>
      <c r="B89" s="126" t="s">
        <v>365</v>
      </c>
      <c r="C89" s="36"/>
      <c r="D89" s="5"/>
      <c r="E89" s="5"/>
      <c r="F89" s="5"/>
      <c r="G89" s="55"/>
      <c r="H89" s="55"/>
      <c r="I89" s="41"/>
      <c r="J89" s="54"/>
      <c r="K89" s="54"/>
      <c r="L89" s="54"/>
      <c r="M89" s="54"/>
      <c r="N89" s="57"/>
      <c r="O89" s="102">
        <f t="shared" si="15"/>
        <v>0</v>
      </c>
    </row>
    <row r="90" spans="1:15" ht="30">
      <c r="A90" s="103" t="s">
        <v>250</v>
      </c>
      <c r="B90" s="126" t="s">
        <v>251</v>
      </c>
      <c r="C90" s="36"/>
      <c r="D90" s="5"/>
      <c r="E90" s="5"/>
      <c r="F90" s="5"/>
      <c r="G90" s="55"/>
      <c r="H90" s="55"/>
      <c r="I90" s="55"/>
      <c r="J90" s="54"/>
      <c r="K90" s="54"/>
      <c r="L90" s="54"/>
      <c r="M90" s="54"/>
      <c r="N90" s="57"/>
      <c r="O90" s="102">
        <f t="shared" si="15"/>
        <v>0</v>
      </c>
    </row>
    <row r="91" spans="1:15" ht="15">
      <c r="A91" s="103" t="s">
        <v>252</v>
      </c>
      <c r="B91" s="126" t="s">
        <v>253</v>
      </c>
      <c r="C91" s="36"/>
      <c r="D91" s="5">
        <v>315426</v>
      </c>
      <c r="E91" s="5"/>
      <c r="F91" s="5"/>
      <c r="G91" s="54">
        <v>42561</v>
      </c>
      <c r="H91" s="41">
        <v>13759</v>
      </c>
      <c r="I91" s="41">
        <v>10473</v>
      </c>
      <c r="J91" s="57">
        <v>60156</v>
      </c>
      <c r="K91" s="57"/>
      <c r="L91" s="57"/>
      <c r="M91" s="57"/>
      <c r="N91" s="57"/>
      <c r="O91" s="102">
        <f t="shared" si="15"/>
        <v>442375</v>
      </c>
    </row>
    <row r="92" spans="1:15" ht="30">
      <c r="A92" s="103" t="s">
        <v>347</v>
      </c>
      <c r="B92" s="126" t="s">
        <v>348</v>
      </c>
      <c r="C92" s="36"/>
      <c r="D92" s="5"/>
      <c r="E92" s="5"/>
      <c r="F92" s="5"/>
      <c r="G92" s="54"/>
      <c r="H92" s="55"/>
      <c r="I92" s="55"/>
      <c r="J92" s="57"/>
      <c r="K92" s="57"/>
      <c r="L92" s="57"/>
      <c r="M92" s="57"/>
      <c r="N92" s="57"/>
      <c r="O92" s="102">
        <f t="shared" si="15"/>
        <v>0</v>
      </c>
    </row>
    <row r="93" spans="1:15" ht="15">
      <c r="A93" s="100" t="s">
        <v>77</v>
      </c>
      <c r="B93" s="105" t="s">
        <v>78</v>
      </c>
      <c r="C93" s="101">
        <f>SUM(C94:C94)</f>
        <v>13241</v>
      </c>
      <c r="D93" s="101">
        <f>SUM(D94:D94)</f>
        <v>0</v>
      </c>
      <c r="E93" s="101">
        <f>SUM(E94:E94)</f>
        <v>0</v>
      </c>
      <c r="F93" s="101">
        <f>SUM(F94:F94)</f>
        <v>0</v>
      </c>
      <c r="G93" s="8">
        <f>SUM(G94:G94)</f>
        <v>0</v>
      </c>
      <c r="H93" s="8">
        <f aca="true" t="shared" si="22" ref="H93:N93">SUM(H94:H94)</f>
        <v>0</v>
      </c>
      <c r="I93" s="8">
        <f>SUM(I94:I94)</f>
        <v>0</v>
      </c>
      <c r="J93" s="101">
        <f t="shared" si="22"/>
        <v>0</v>
      </c>
      <c r="K93" s="101">
        <f t="shared" si="22"/>
        <v>0</v>
      </c>
      <c r="L93" s="101">
        <f t="shared" si="22"/>
        <v>0</v>
      </c>
      <c r="M93" s="101">
        <f t="shared" si="22"/>
        <v>0</v>
      </c>
      <c r="N93" s="101">
        <f t="shared" si="22"/>
        <v>0</v>
      </c>
      <c r="O93" s="102">
        <f t="shared" si="15"/>
        <v>13241</v>
      </c>
    </row>
    <row r="94" spans="1:15" ht="15">
      <c r="A94" s="103" t="s">
        <v>254</v>
      </c>
      <c r="B94" s="35" t="s">
        <v>366</v>
      </c>
      <c r="C94" s="36">
        <f>21756-8515</f>
        <v>13241</v>
      </c>
      <c r="D94" s="5"/>
      <c r="E94" s="5"/>
      <c r="F94" s="5"/>
      <c r="G94" s="54"/>
      <c r="H94" s="55"/>
      <c r="I94" s="55"/>
      <c r="J94" s="54"/>
      <c r="K94" s="54"/>
      <c r="L94" s="54"/>
      <c r="M94" s="54"/>
      <c r="N94" s="57"/>
      <c r="O94" s="102">
        <f t="shared" si="15"/>
        <v>13241</v>
      </c>
    </row>
    <row r="95" spans="1:15" ht="15">
      <c r="A95" s="100" t="s">
        <v>79</v>
      </c>
      <c r="B95" s="105" t="s">
        <v>80</v>
      </c>
      <c r="C95" s="101">
        <f aca="true" t="shared" si="23" ref="C95:N95">SUM(C96:C96)</f>
        <v>0</v>
      </c>
      <c r="D95" s="101">
        <f t="shared" si="23"/>
        <v>0</v>
      </c>
      <c r="E95" s="101">
        <f t="shared" si="23"/>
        <v>0</v>
      </c>
      <c r="F95" s="101">
        <f t="shared" si="23"/>
        <v>0</v>
      </c>
      <c r="G95" s="8">
        <f t="shared" si="23"/>
        <v>0</v>
      </c>
      <c r="H95" s="101">
        <f t="shared" si="23"/>
        <v>0</v>
      </c>
      <c r="I95" s="101">
        <f t="shared" si="23"/>
        <v>0</v>
      </c>
      <c r="J95" s="101">
        <f t="shared" si="23"/>
        <v>0</v>
      </c>
      <c r="K95" s="101">
        <f t="shared" si="23"/>
        <v>0</v>
      </c>
      <c r="L95" s="101">
        <f t="shared" si="23"/>
        <v>0</v>
      </c>
      <c r="M95" s="101">
        <f t="shared" si="23"/>
        <v>0</v>
      </c>
      <c r="N95" s="101">
        <f t="shared" si="23"/>
        <v>0</v>
      </c>
      <c r="O95" s="102">
        <f t="shared" si="15"/>
        <v>0</v>
      </c>
    </row>
    <row r="96" spans="1:15" ht="15.75" thickBot="1">
      <c r="A96" s="103"/>
      <c r="B96" s="126"/>
      <c r="C96" s="36"/>
      <c r="D96" s="5"/>
      <c r="E96" s="5"/>
      <c r="F96" s="5"/>
      <c r="G96" s="54"/>
      <c r="H96" s="55"/>
      <c r="I96" s="55"/>
      <c r="J96" s="54"/>
      <c r="K96" s="54"/>
      <c r="L96" s="54"/>
      <c r="M96" s="54"/>
      <c r="N96" s="57"/>
      <c r="O96" s="102">
        <f t="shared" si="15"/>
        <v>0</v>
      </c>
    </row>
    <row r="97" spans="1:15" ht="15.75" thickBot="1">
      <c r="A97" s="115" t="s">
        <v>18</v>
      </c>
      <c r="B97" s="127" t="s">
        <v>81</v>
      </c>
      <c r="C97" s="49">
        <f>C98+C100+C103+C112</f>
        <v>196107</v>
      </c>
      <c r="D97" s="49">
        <f aca="true" t="shared" si="24" ref="D97:N97">D98+D100+D103+D112</f>
        <v>4081548</v>
      </c>
      <c r="E97" s="49">
        <f t="shared" si="24"/>
        <v>0</v>
      </c>
      <c r="F97" s="49">
        <f t="shared" si="24"/>
        <v>136883</v>
      </c>
      <c r="G97" s="27">
        <f t="shared" si="24"/>
        <v>0</v>
      </c>
      <c r="H97" s="49">
        <f t="shared" si="24"/>
        <v>0</v>
      </c>
      <c r="I97" s="49">
        <f t="shared" si="24"/>
        <v>19039</v>
      </c>
      <c r="J97" s="49">
        <f t="shared" si="24"/>
        <v>54426</v>
      </c>
      <c r="K97" s="49">
        <f t="shared" si="24"/>
        <v>1600</v>
      </c>
      <c r="L97" s="49">
        <f t="shared" si="24"/>
        <v>11920</v>
      </c>
      <c r="M97" s="49">
        <f t="shared" si="24"/>
        <v>0</v>
      </c>
      <c r="N97" s="49">
        <f t="shared" si="24"/>
        <v>6886</v>
      </c>
      <c r="O97" s="28">
        <f t="shared" si="15"/>
        <v>4508409</v>
      </c>
    </row>
    <row r="98" spans="1:15" ht="15">
      <c r="A98" s="94" t="s">
        <v>82</v>
      </c>
      <c r="B98" s="128" t="s">
        <v>83</v>
      </c>
      <c r="C98" s="96">
        <f>SUM(C99:C99)</f>
        <v>181665</v>
      </c>
      <c r="D98" s="96">
        <f>SUM(D99:D99)</f>
        <v>395699</v>
      </c>
      <c r="E98" s="51"/>
      <c r="F98" s="152">
        <f aca="true" t="shared" si="25" ref="F98:N98">SUM(F99:F99)</f>
        <v>25867</v>
      </c>
      <c r="G98" s="152">
        <f t="shared" si="25"/>
        <v>0</v>
      </c>
      <c r="H98" s="152">
        <f t="shared" si="25"/>
        <v>0</v>
      </c>
      <c r="I98" s="97">
        <f t="shared" si="25"/>
        <v>19039</v>
      </c>
      <c r="J98" s="192">
        <f t="shared" si="25"/>
        <v>22964</v>
      </c>
      <c r="K98" s="97">
        <f t="shared" si="25"/>
        <v>1600</v>
      </c>
      <c r="L98" s="97">
        <f t="shared" si="25"/>
        <v>4500</v>
      </c>
      <c r="M98" s="192">
        <f t="shared" si="25"/>
        <v>0</v>
      </c>
      <c r="N98" s="97">
        <f t="shared" si="25"/>
        <v>0</v>
      </c>
      <c r="O98" s="99">
        <f t="shared" si="15"/>
        <v>651334</v>
      </c>
    </row>
    <row r="99" spans="1:15" ht="30">
      <c r="A99" s="103" t="s">
        <v>255</v>
      </c>
      <c r="B99" s="35" t="s">
        <v>174</v>
      </c>
      <c r="C99" s="36">
        <f>127359+37720+16586</f>
        <v>181665</v>
      </c>
      <c r="D99" s="5">
        <v>395699</v>
      </c>
      <c r="E99" s="5"/>
      <c r="F99" s="5">
        <v>25867</v>
      </c>
      <c r="G99" s="41">
        <f>22908-22908</f>
        <v>0</v>
      </c>
      <c r="H99" s="55"/>
      <c r="I99" s="41">
        <v>19039</v>
      </c>
      <c r="J99" s="54">
        <v>22964</v>
      </c>
      <c r="K99" s="54">
        <v>1600</v>
      </c>
      <c r="L99" s="54">
        <v>4500</v>
      </c>
      <c r="M99" s="54"/>
      <c r="N99" s="57"/>
      <c r="O99" s="102">
        <f t="shared" si="15"/>
        <v>651334</v>
      </c>
    </row>
    <row r="100" spans="1:15" ht="15">
      <c r="A100" s="100" t="s">
        <v>2</v>
      </c>
      <c r="B100" s="105" t="s">
        <v>84</v>
      </c>
      <c r="C100" s="101">
        <f>SUM(C101:C102)</f>
        <v>9542</v>
      </c>
      <c r="D100" s="101">
        <f>SUM(D101:D102)</f>
        <v>3685849</v>
      </c>
      <c r="E100" s="101">
        <f>SUM(E101:E102)</f>
        <v>0</v>
      </c>
      <c r="F100" s="101">
        <f>SUM(F101:F102)</f>
        <v>111016</v>
      </c>
      <c r="G100" s="8">
        <f aca="true" t="shared" si="26" ref="G100:N100">SUM(G101:G102)</f>
        <v>0</v>
      </c>
      <c r="H100" s="8">
        <f t="shared" si="26"/>
        <v>0</v>
      </c>
      <c r="I100" s="8">
        <f t="shared" si="26"/>
        <v>0</v>
      </c>
      <c r="J100" s="101">
        <f t="shared" si="26"/>
        <v>31462</v>
      </c>
      <c r="K100" s="101">
        <f t="shared" si="26"/>
        <v>0</v>
      </c>
      <c r="L100" s="101">
        <f t="shared" si="26"/>
        <v>7420</v>
      </c>
      <c r="M100" s="101">
        <f t="shared" si="26"/>
        <v>0</v>
      </c>
      <c r="N100" s="101">
        <f t="shared" si="26"/>
        <v>6886</v>
      </c>
      <c r="O100" s="102">
        <f t="shared" si="15"/>
        <v>3852175</v>
      </c>
    </row>
    <row r="101" spans="1:15" ht="15">
      <c r="A101" s="103" t="s">
        <v>256</v>
      </c>
      <c r="B101" s="126" t="s">
        <v>140</v>
      </c>
      <c r="C101" s="36"/>
      <c r="D101" s="5">
        <v>42648</v>
      </c>
      <c r="E101" s="5"/>
      <c r="F101" s="5"/>
      <c r="G101" s="41"/>
      <c r="H101" s="55"/>
      <c r="I101" s="55"/>
      <c r="J101" s="54"/>
      <c r="K101" s="54"/>
      <c r="L101" s="54"/>
      <c r="M101" s="54"/>
      <c r="N101" s="57"/>
      <c r="O101" s="102">
        <f t="shared" si="15"/>
        <v>42648</v>
      </c>
    </row>
    <row r="102" spans="1:15" ht="30">
      <c r="A102" s="129" t="s">
        <v>257</v>
      </c>
      <c r="B102" s="126" t="s">
        <v>85</v>
      </c>
      <c r="C102" s="36">
        <v>9542</v>
      </c>
      <c r="D102" s="5">
        <v>3643201</v>
      </c>
      <c r="E102" s="5"/>
      <c r="F102" s="5">
        <v>111016</v>
      </c>
      <c r="G102" s="41">
        <f>92766-92766</f>
        <v>0</v>
      </c>
      <c r="H102" s="55"/>
      <c r="I102" s="55"/>
      <c r="J102" s="54">
        <v>31462</v>
      </c>
      <c r="K102" s="54"/>
      <c r="L102" s="54">
        <v>7420</v>
      </c>
      <c r="M102" s="54"/>
      <c r="N102" s="135">
        <v>6886</v>
      </c>
      <c r="O102" s="102">
        <f aca="true" t="shared" si="27" ref="O102:O108">SUM(C102:N102)</f>
        <v>3809527</v>
      </c>
    </row>
    <row r="103" spans="1:15" s="16" customFormat="1" ht="28.5">
      <c r="A103" s="100" t="s">
        <v>258</v>
      </c>
      <c r="B103" s="128" t="s">
        <v>259</v>
      </c>
      <c r="C103" s="96">
        <f>SUM(C104:C111)</f>
        <v>4900</v>
      </c>
      <c r="D103" s="96">
        <f aca="true" t="shared" si="28" ref="D103:N103">SUM(D104:D111)</f>
        <v>0</v>
      </c>
      <c r="E103" s="96">
        <f t="shared" si="28"/>
        <v>0</v>
      </c>
      <c r="F103" s="96">
        <f t="shared" si="28"/>
        <v>0</v>
      </c>
      <c r="G103" s="96">
        <f t="shared" si="28"/>
        <v>0</v>
      </c>
      <c r="H103" s="96">
        <f t="shared" si="28"/>
        <v>0</v>
      </c>
      <c r="I103" s="96">
        <f t="shared" si="28"/>
        <v>0</v>
      </c>
      <c r="J103" s="96">
        <f t="shared" si="28"/>
        <v>0</v>
      </c>
      <c r="K103" s="96">
        <f t="shared" si="28"/>
        <v>0</v>
      </c>
      <c r="L103" s="96">
        <f t="shared" si="28"/>
        <v>0</v>
      </c>
      <c r="M103" s="96">
        <f t="shared" si="28"/>
        <v>0</v>
      </c>
      <c r="N103" s="96">
        <f t="shared" si="28"/>
        <v>0</v>
      </c>
      <c r="O103" s="102">
        <f t="shared" si="27"/>
        <v>4900</v>
      </c>
    </row>
    <row r="104" spans="1:15" s="16" customFormat="1" ht="15">
      <c r="A104" s="103" t="s">
        <v>260</v>
      </c>
      <c r="B104" s="35" t="s">
        <v>367</v>
      </c>
      <c r="C104" s="96">
        <v>3000</v>
      </c>
      <c r="D104" s="96"/>
      <c r="E104" s="96"/>
      <c r="F104" s="96"/>
      <c r="G104" s="51"/>
      <c r="H104" s="96"/>
      <c r="I104" s="96"/>
      <c r="J104" s="96"/>
      <c r="K104" s="96"/>
      <c r="L104" s="96"/>
      <c r="M104" s="96"/>
      <c r="N104" s="96"/>
      <c r="O104" s="102">
        <f t="shared" si="27"/>
        <v>3000</v>
      </c>
    </row>
    <row r="105" spans="1:15" s="16" customFormat="1" ht="45">
      <c r="A105" s="103" t="s">
        <v>349</v>
      </c>
      <c r="B105" s="31" t="s">
        <v>368</v>
      </c>
      <c r="C105" s="96"/>
      <c r="D105" s="96"/>
      <c r="E105" s="96"/>
      <c r="F105" s="96"/>
      <c r="G105" s="51"/>
      <c r="H105" s="96"/>
      <c r="I105" s="96"/>
      <c r="J105" s="96"/>
      <c r="K105" s="96"/>
      <c r="L105" s="96"/>
      <c r="M105" s="96"/>
      <c r="N105" s="96"/>
      <c r="O105" s="102">
        <f t="shared" si="27"/>
        <v>0</v>
      </c>
    </row>
    <row r="106" spans="1:15" s="16" customFormat="1" ht="45">
      <c r="A106" s="103" t="s">
        <v>369</v>
      </c>
      <c r="B106" s="31" t="s">
        <v>370</v>
      </c>
      <c r="C106" s="96"/>
      <c r="D106" s="96"/>
      <c r="E106" s="96"/>
      <c r="F106" s="96"/>
      <c r="G106" s="51"/>
      <c r="H106" s="96"/>
      <c r="I106" s="96"/>
      <c r="J106" s="96"/>
      <c r="K106" s="96"/>
      <c r="L106" s="96"/>
      <c r="M106" s="96"/>
      <c r="N106" s="96"/>
      <c r="O106" s="102">
        <f t="shared" si="27"/>
        <v>0</v>
      </c>
    </row>
    <row r="107" spans="1:15" s="16" customFormat="1" ht="45">
      <c r="A107" s="103" t="s">
        <v>371</v>
      </c>
      <c r="B107" s="31" t="s">
        <v>372</v>
      </c>
      <c r="C107" s="96"/>
      <c r="D107" s="96"/>
      <c r="E107" s="96"/>
      <c r="F107" s="96"/>
      <c r="G107" s="51"/>
      <c r="H107" s="96"/>
      <c r="I107" s="96"/>
      <c r="J107" s="96"/>
      <c r="K107" s="96"/>
      <c r="L107" s="96"/>
      <c r="M107" s="96"/>
      <c r="N107" s="96"/>
      <c r="O107" s="102">
        <f t="shared" si="27"/>
        <v>0</v>
      </c>
    </row>
    <row r="108" spans="1:15" s="16" customFormat="1" ht="45">
      <c r="A108" s="103" t="s">
        <v>373</v>
      </c>
      <c r="B108" s="31" t="s">
        <v>374</v>
      </c>
      <c r="C108" s="96"/>
      <c r="D108" s="96"/>
      <c r="E108" s="96"/>
      <c r="F108" s="96"/>
      <c r="G108" s="51"/>
      <c r="H108" s="96"/>
      <c r="I108" s="96"/>
      <c r="J108" s="96"/>
      <c r="K108" s="96"/>
      <c r="L108" s="96"/>
      <c r="M108" s="96"/>
      <c r="N108" s="96"/>
      <c r="O108" s="102">
        <f t="shared" si="27"/>
        <v>0</v>
      </c>
    </row>
    <row r="109" spans="1:15" ht="45">
      <c r="A109" s="103" t="s">
        <v>375</v>
      </c>
      <c r="B109" s="31" t="s">
        <v>376</v>
      </c>
      <c r="C109" s="50"/>
      <c r="D109" s="50"/>
      <c r="E109" s="50"/>
      <c r="F109" s="50"/>
      <c r="G109" s="64"/>
      <c r="H109" s="131"/>
      <c r="I109" s="131"/>
      <c r="J109" s="78"/>
      <c r="K109" s="78"/>
      <c r="L109" s="78"/>
      <c r="M109" s="78"/>
      <c r="N109" s="78"/>
      <c r="O109" s="102">
        <f t="shared" si="15"/>
        <v>0</v>
      </c>
    </row>
    <row r="110" spans="1:15" ht="45">
      <c r="A110" s="103" t="s">
        <v>377</v>
      </c>
      <c r="B110" s="31" t="s">
        <v>378</v>
      </c>
      <c r="C110" s="50"/>
      <c r="D110" s="50"/>
      <c r="E110" s="50"/>
      <c r="F110" s="50"/>
      <c r="G110" s="64"/>
      <c r="H110" s="131"/>
      <c r="I110" s="131"/>
      <c r="J110" s="78"/>
      <c r="K110" s="78"/>
      <c r="L110" s="78"/>
      <c r="M110" s="78"/>
      <c r="N110" s="78"/>
      <c r="O110" s="102">
        <f t="shared" si="15"/>
        <v>0</v>
      </c>
    </row>
    <row r="111" spans="1:15" ht="30">
      <c r="A111" s="124" t="s">
        <v>430</v>
      </c>
      <c r="B111" s="126" t="s">
        <v>431</v>
      </c>
      <c r="C111" s="50">
        <v>1900</v>
      </c>
      <c r="D111" s="50"/>
      <c r="E111" s="50"/>
      <c r="F111" s="50"/>
      <c r="G111" s="64"/>
      <c r="H111" s="131"/>
      <c r="I111" s="131"/>
      <c r="J111" s="78"/>
      <c r="K111" s="78"/>
      <c r="L111" s="78"/>
      <c r="M111" s="78"/>
      <c r="N111" s="78"/>
      <c r="O111" s="102">
        <f t="shared" si="15"/>
        <v>1900</v>
      </c>
    </row>
    <row r="112" spans="1:15" s="16" customFormat="1" ht="30" customHeight="1" thickBot="1">
      <c r="A112" s="94" t="s">
        <v>261</v>
      </c>
      <c r="B112" s="128" t="s">
        <v>262</v>
      </c>
      <c r="C112" s="96"/>
      <c r="D112" s="96"/>
      <c r="E112" s="96"/>
      <c r="F112" s="96"/>
      <c r="G112" s="51"/>
      <c r="H112" s="96"/>
      <c r="I112" s="96"/>
      <c r="J112" s="96"/>
      <c r="K112" s="96"/>
      <c r="L112" s="96"/>
      <c r="M112" s="96"/>
      <c r="N112" s="96"/>
      <c r="O112" s="102">
        <f t="shared" si="15"/>
        <v>0</v>
      </c>
    </row>
    <row r="113" spans="1:15" ht="30" thickBot="1">
      <c r="A113" s="115" t="s">
        <v>3</v>
      </c>
      <c r="B113" s="127" t="s">
        <v>86</v>
      </c>
      <c r="C113" s="49">
        <f>SUM(C114:C119)</f>
        <v>1563106</v>
      </c>
      <c r="D113" s="49">
        <f>SUM(D114:D119)</f>
        <v>11556321</v>
      </c>
      <c r="E113" s="49">
        <f>SUM(E114:E119)</f>
        <v>0</v>
      </c>
      <c r="F113" s="49">
        <f>SUM(F114:F119)</f>
        <v>184857</v>
      </c>
      <c r="G113" s="27">
        <f aca="true" t="shared" si="29" ref="G113:N113">SUM(G114:G119)</f>
        <v>40389</v>
      </c>
      <c r="H113" s="27">
        <f t="shared" si="29"/>
        <v>245846</v>
      </c>
      <c r="I113" s="27">
        <f t="shared" si="29"/>
        <v>163744</v>
      </c>
      <c r="J113" s="49">
        <f t="shared" si="29"/>
        <v>354956</v>
      </c>
      <c r="K113" s="49">
        <f t="shared" si="29"/>
        <v>28025</v>
      </c>
      <c r="L113" s="49">
        <f t="shared" si="29"/>
        <v>84545</v>
      </c>
      <c r="M113" s="49">
        <f t="shared" si="29"/>
        <v>106724</v>
      </c>
      <c r="N113" s="49">
        <f t="shared" si="29"/>
        <v>139517</v>
      </c>
      <c r="O113" s="28">
        <f t="shared" si="15"/>
        <v>14468030</v>
      </c>
    </row>
    <row r="114" spans="1:15" ht="15">
      <c r="A114" s="94" t="s">
        <v>343</v>
      </c>
      <c r="B114" s="128" t="s">
        <v>175</v>
      </c>
      <c r="C114" s="96"/>
      <c r="D114" s="51"/>
      <c r="E114" s="32"/>
      <c r="F114" s="32"/>
      <c r="G114" s="64"/>
      <c r="I114" s="64"/>
      <c r="J114" s="53"/>
      <c r="K114" s="53"/>
      <c r="L114" s="53"/>
      <c r="M114" s="53"/>
      <c r="N114" s="78"/>
      <c r="O114" s="99">
        <f t="shared" si="15"/>
        <v>0</v>
      </c>
    </row>
    <row r="115" spans="1:15" ht="15">
      <c r="A115" s="100" t="s">
        <v>87</v>
      </c>
      <c r="B115" s="105" t="s">
        <v>263</v>
      </c>
      <c r="C115" s="36">
        <f>179371+16269+5773</f>
        <v>201413</v>
      </c>
      <c r="D115" s="8"/>
      <c r="E115" s="5"/>
      <c r="F115" s="5"/>
      <c r="G115" s="55"/>
      <c r="H115" s="55"/>
      <c r="I115" s="55"/>
      <c r="J115" s="54"/>
      <c r="K115" s="54"/>
      <c r="L115" s="54"/>
      <c r="M115" s="54"/>
      <c r="N115" s="57"/>
      <c r="O115" s="102">
        <f t="shared" si="15"/>
        <v>201413</v>
      </c>
    </row>
    <row r="116" spans="1:15" ht="15">
      <c r="A116" s="100" t="s">
        <v>88</v>
      </c>
      <c r="B116" s="105" t="s">
        <v>89</v>
      </c>
      <c r="C116" s="36"/>
      <c r="D116" s="8">
        <v>162567</v>
      </c>
      <c r="E116" s="5"/>
      <c r="F116" s="5">
        <v>38603</v>
      </c>
      <c r="G116" s="41">
        <f>18006-18006</f>
        <v>0</v>
      </c>
      <c r="H116" s="55"/>
      <c r="I116" s="41">
        <v>17945</v>
      </c>
      <c r="J116" s="54">
        <v>55930</v>
      </c>
      <c r="K116" s="54"/>
      <c r="L116" s="54">
        <v>14454</v>
      </c>
      <c r="M116" s="54">
        <f>96609+4645</f>
        <v>101254</v>
      </c>
      <c r="N116" s="57"/>
      <c r="O116" s="102">
        <f t="shared" si="15"/>
        <v>390753</v>
      </c>
    </row>
    <row r="117" spans="1:15" ht="29.25">
      <c r="A117" s="100" t="s">
        <v>264</v>
      </c>
      <c r="B117" s="105" t="s">
        <v>221</v>
      </c>
      <c r="C117" s="36"/>
      <c r="D117" s="8"/>
      <c r="E117" s="5"/>
      <c r="F117" s="5"/>
      <c r="G117" s="41"/>
      <c r="H117" s="41">
        <v>86274</v>
      </c>
      <c r="I117" s="41"/>
      <c r="J117" s="54"/>
      <c r="K117" s="54"/>
      <c r="L117" s="54"/>
      <c r="M117" s="54"/>
      <c r="N117" s="57"/>
      <c r="O117" s="102">
        <f t="shared" si="15"/>
        <v>86274</v>
      </c>
    </row>
    <row r="118" spans="1:15" ht="15">
      <c r="A118" s="100" t="s">
        <v>90</v>
      </c>
      <c r="B118" s="105" t="s">
        <v>91</v>
      </c>
      <c r="C118" s="101">
        <f>248816+8200+40000</f>
        <v>297016</v>
      </c>
      <c r="D118" s="8">
        <v>144030</v>
      </c>
      <c r="E118" s="5"/>
      <c r="F118" s="5"/>
      <c r="G118" s="41">
        <v>4800</v>
      </c>
      <c r="H118" s="41">
        <v>440</v>
      </c>
      <c r="I118" s="55"/>
      <c r="J118" s="54">
        <v>3598</v>
      </c>
      <c r="K118" s="54"/>
      <c r="L118" s="54"/>
      <c r="M118" s="54">
        <v>1000</v>
      </c>
      <c r="N118" s="57"/>
      <c r="O118" s="102">
        <f t="shared" si="15"/>
        <v>450884</v>
      </c>
    </row>
    <row r="119" spans="1:15" ht="43.5">
      <c r="A119" s="100" t="s">
        <v>92</v>
      </c>
      <c r="B119" s="105" t="s">
        <v>93</v>
      </c>
      <c r="C119" s="101">
        <f aca="true" t="shared" si="30" ref="C119:N119">SUM(C120:C133)</f>
        <v>1064677</v>
      </c>
      <c r="D119" s="101">
        <f t="shared" si="30"/>
        <v>11249724</v>
      </c>
      <c r="E119" s="101">
        <f t="shared" si="30"/>
        <v>0</v>
      </c>
      <c r="F119" s="101">
        <f t="shared" si="30"/>
        <v>146254</v>
      </c>
      <c r="G119" s="101">
        <f t="shared" si="30"/>
        <v>35589</v>
      </c>
      <c r="H119" s="101">
        <f t="shared" si="30"/>
        <v>159132</v>
      </c>
      <c r="I119" s="101">
        <f t="shared" si="30"/>
        <v>145799</v>
      </c>
      <c r="J119" s="101">
        <f t="shared" si="30"/>
        <v>295428</v>
      </c>
      <c r="K119" s="101">
        <f t="shared" si="30"/>
        <v>28025</v>
      </c>
      <c r="L119" s="101">
        <f t="shared" si="30"/>
        <v>70091</v>
      </c>
      <c r="M119" s="101">
        <f t="shared" si="30"/>
        <v>4470</v>
      </c>
      <c r="N119" s="101">
        <f t="shared" si="30"/>
        <v>139517</v>
      </c>
      <c r="O119" s="102">
        <f t="shared" si="15"/>
        <v>13338706</v>
      </c>
    </row>
    <row r="120" spans="1:15" ht="15">
      <c r="A120" s="103" t="s">
        <v>265</v>
      </c>
      <c r="B120" s="126" t="s">
        <v>350</v>
      </c>
      <c r="C120" s="36"/>
      <c r="D120" s="5">
        <v>5929735</v>
      </c>
      <c r="E120" s="5"/>
      <c r="F120" s="5">
        <v>12058</v>
      </c>
      <c r="G120" s="184">
        <f>15887-15887</f>
        <v>0</v>
      </c>
      <c r="H120" s="52">
        <v>136146</v>
      </c>
      <c r="I120" s="41">
        <v>7050</v>
      </c>
      <c r="J120" s="54"/>
      <c r="K120" s="54">
        <v>26477</v>
      </c>
      <c r="L120" s="54">
        <f>68428+1663</f>
        <v>70091</v>
      </c>
      <c r="M120" s="54"/>
      <c r="N120" s="54">
        <f>124517+15000</f>
        <v>139517</v>
      </c>
      <c r="O120" s="102">
        <f t="shared" si="15"/>
        <v>6321074</v>
      </c>
    </row>
    <row r="121" spans="1:15" ht="15">
      <c r="A121" s="103" t="s">
        <v>266</v>
      </c>
      <c r="B121" s="126" t="s">
        <v>351</v>
      </c>
      <c r="C121" s="36">
        <v>4745</v>
      </c>
      <c r="D121" s="5">
        <v>5319989</v>
      </c>
      <c r="E121" s="5"/>
      <c r="F121" s="5">
        <v>134196</v>
      </c>
      <c r="G121" s="184">
        <f>133147-133147</f>
        <v>0</v>
      </c>
      <c r="H121" s="55"/>
      <c r="I121" s="41">
        <v>80700</v>
      </c>
      <c r="J121" s="54">
        <v>140514</v>
      </c>
      <c r="K121" s="54"/>
      <c r="L121" s="54"/>
      <c r="M121" s="54"/>
      <c r="N121" s="57"/>
      <c r="O121" s="102">
        <f t="shared" si="15"/>
        <v>5680144</v>
      </c>
    </row>
    <row r="122" spans="1:15" ht="15">
      <c r="A122" s="103" t="s">
        <v>267</v>
      </c>
      <c r="B122" s="126" t="s">
        <v>352</v>
      </c>
      <c r="C122" s="36">
        <f>34059+11225</f>
        <v>45284</v>
      </c>
      <c r="D122" s="5">
        <f>10505-10505</f>
        <v>0</v>
      </c>
      <c r="E122" s="5"/>
      <c r="F122" s="5"/>
      <c r="G122" s="41">
        <v>8401</v>
      </c>
      <c r="H122" s="55"/>
      <c r="I122" s="55"/>
      <c r="J122" s="54">
        <v>16261</v>
      </c>
      <c r="K122" s="54">
        <v>1548</v>
      </c>
      <c r="L122" s="54"/>
      <c r="M122" s="54">
        <v>4470</v>
      </c>
      <c r="N122" s="57"/>
      <c r="O122" s="102">
        <f t="shared" si="15"/>
        <v>75964</v>
      </c>
    </row>
    <row r="123" spans="1:15" ht="60">
      <c r="A123" s="103" t="s">
        <v>458</v>
      </c>
      <c r="B123" s="130" t="s">
        <v>465</v>
      </c>
      <c r="C123" s="50">
        <v>385160</v>
      </c>
      <c r="D123" s="5"/>
      <c r="E123" s="5"/>
      <c r="F123" s="5"/>
      <c r="G123" s="41"/>
      <c r="H123" s="55"/>
      <c r="I123" s="55"/>
      <c r="J123" s="54"/>
      <c r="K123" s="54"/>
      <c r="L123" s="54"/>
      <c r="M123" s="54"/>
      <c r="N123" s="57"/>
      <c r="O123" s="102">
        <f t="shared" si="15"/>
        <v>385160</v>
      </c>
    </row>
    <row r="124" spans="1:15" ht="15">
      <c r="A124" s="103" t="s">
        <v>268</v>
      </c>
      <c r="B124" s="126" t="s">
        <v>432</v>
      </c>
      <c r="C124" s="50">
        <v>44100</v>
      </c>
      <c r="D124" s="5"/>
      <c r="E124" s="5"/>
      <c r="F124" s="5"/>
      <c r="G124" s="55"/>
      <c r="H124" s="55"/>
      <c r="I124" s="55"/>
      <c r="J124" s="54"/>
      <c r="K124" s="54"/>
      <c r="L124" s="54"/>
      <c r="M124" s="54"/>
      <c r="N124" s="57"/>
      <c r="O124" s="102">
        <f t="shared" si="15"/>
        <v>44100</v>
      </c>
    </row>
    <row r="125" spans="1:15" ht="30">
      <c r="A125" s="103" t="s">
        <v>269</v>
      </c>
      <c r="B125" s="125" t="s">
        <v>379</v>
      </c>
      <c r="C125" s="50">
        <v>25000</v>
      </c>
      <c r="D125" s="5"/>
      <c r="E125" s="5"/>
      <c r="F125" s="5"/>
      <c r="G125" s="41">
        <v>7089</v>
      </c>
      <c r="H125" s="55"/>
      <c r="I125" s="41">
        <v>1883</v>
      </c>
      <c r="J125" s="54">
        <v>1042</v>
      </c>
      <c r="K125" s="54"/>
      <c r="L125" s="54"/>
      <c r="M125" s="54"/>
      <c r="N125" s="57"/>
      <c r="O125" s="102">
        <f>SUM(C125:N125)</f>
        <v>35014</v>
      </c>
    </row>
    <row r="126" spans="1:15" ht="15">
      <c r="A126" s="103" t="s">
        <v>270</v>
      </c>
      <c r="B126" s="132" t="s">
        <v>176</v>
      </c>
      <c r="C126" s="36">
        <f>35000+729</f>
        <v>35729</v>
      </c>
      <c r="D126" s="36"/>
      <c r="E126" s="36"/>
      <c r="F126" s="36"/>
      <c r="G126" s="41">
        <v>20099</v>
      </c>
      <c r="H126" s="55"/>
      <c r="I126" s="41">
        <v>56166</v>
      </c>
      <c r="J126" s="54"/>
      <c r="K126" s="54"/>
      <c r="L126" s="54"/>
      <c r="M126" s="54"/>
      <c r="N126" s="57"/>
      <c r="O126" s="102">
        <f aca="true" t="shared" si="31" ref="O126:O189">SUM(C126:N126)</f>
        <v>111994</v>
      </c>
    </row>
    <row r="127" spans="1:15" ht="15">
      <c r="A127" s="103" t="s">
        <v>271</v>
      </c>
      <c r="B127" s="126" t="s">
        <v>141</v>
      </c>
      <c r="C127" s="5">
        <v>7000</v>
      </c>
      <c r="D127" s="5"/>
      <c r="E127" s="5"/>
      <c r="F127" s="5"/>
      <c r="G127" s="55"/>
      <c r="H127" s="55"/>
      <c r="I127" s="55"/>
      <c r="J127" s="54"/>
      <c r="K127" s="54"/>
      <c r="L127" s="54"/>
      <c r="M127" s="54"/>
      <c r="N127" s="57"/>
      <c r="O127" s="102">
        <f t="shared" si="31"/>
        <v>7000</v>
      </c>
    </row>
    <row r="128" spans="1:15" ht="15">
      <c r="A128" s="103" t="s">
        <v>272</v>
      </c>
      <c r="B128" s="126" t="s">
        <v>273</v>
      </c>
      <c r="C128" s="50"/>
      <c r="D128" s="50"/>
      <c r="E128" s="50"/>
      <c r="F128" s="50">
        <f>37229-37229</f>
        <v>0</v>
      </c>
      <c r="G128" s="52">
        <f>37229-37229</f>
        <v>0</v>
      </c>
      <c r="H128" s="178">
        <v>22986</v>
      </c>
      <c r="I128" s="46"/>
      <c r="J128" s="47">
        <v>137611</v>
      </c>
      <c r="K128" s="78"/>
      <c r="L128" s="54"/>
      <c r="M128" s="53"/>
      <c r="N128" s="135"/>
      <c r="O128" s="102">
        <f t="shared" si="31"/>
        <v>160597</v>
      </c>
    </row>
    <row r="129" spans="1:15" ht="60">
      <c r="A129" s="103" t="s">
        <v>355</v>
      </c>
      <c r="B129" s="130" t="s">
        <v>466</v>
      </c>
      <c r="C129" s="72">
        <f>800000-362426</f>
        <v>437574</v>
      </c>
      <c r="D129" s="72"/>
      <c r="E129" s="72"/>
      <c r="F129" s="72"/>
      <c r="G129" s="189"/>
      <c r="H129" s="178"/>
      <c r="I129" s="46"/>
      <c r="J129" s="47"/>
      <c r="K129" s="134"/>
      <c r="L129" s="121"/>
      <c r="M129" s="134"/>
      <c r="N129" s="135"/>
      <c r="O129" s="102">
        <f t="shared" si="31"/>
        <v>437574</v>
      </c>
    </row>
    <row r="130" spans="1:15" ht="60">
      <c r="A130" s="103" t="s">
        <v>380</v>
      </c>
      <c r="B130" s="133" t="s">
        <v>381</v>
      </c>
      <c r="C130" s="5"/>
      <c r="D130" s="5"/>
      <c r="E130" s="5"/>
      <c r="F130" s="5"/>
      <c r="G130" s="55"/>
      <c r="H130" s="55"/>
      <c r="I130" s="55"/>
      <c r="J130" s="54"/>
      <c r="K130" s="54"/>
      <c r="L130" s="54"/>
      <c r="M130" s="54"/>
      <c r="N130" s="135"/>
      <c r="O130" s="102">
        <f t="shared" si="31"/>
        <v>0</v>
      </c>
    </row>
    <row r="131" spans="1:15" ht="30">
      <c r="A131" s="124" t="s">
        <v>391</v>
      </c>
      <c r="B131" s="195" t="s">
        <v>390</v>
      </c>
      <c r="C131" s="36"/>
      <c r="D131" s="36"/>
      <c r="E131" s="5"/>
      <c r="F131" s="5"/>
      <c r="G131" s="55"/>
      <c r="H131" s="140"/>
      <c r="I131" s="140"/>
      <c r="J131" s="57"/>
      <c r="K131" s="57"/>
      <c r="L131" s="57"/>
      <c r="M131" s="57"/>
      <c r="N131" s="135"/>
      <c r="O131" s="102">
        <f t="shared" si="31"/>
        <v>0</v>
      </c>
    </row>
    <row r="132" spans="1:15" ht="15">
      <c r="A132" s="124" t="s">
        <v>433</v>
      </c>
      <c r="B132" s="130" t="s">
        <v>434</v>
      </c>
      <c r="C132" s="50">
        <f>46120+11848</f>
        <v>57968</v>
      </c>
      <c r="D132" s="50"/>
      <c r="E132" s="50"/>
      <c r="F132" s="50"/>
      <c r="G132" s="64"/>
      <c r="H132" s="131"/>
      <c r="I132" s="131"/>
      <c r="J132" s="78"/>
      <c r="K132" s="78"/>
      <c r="L132" s="78"/>
      <c r="M132" s="78"/>
      <c r="N132" s="196"/>
      <c r="O132" s="102">
        <f t="shared" si="31"/>
        <v>57968</v>
      </c>
    </row>
    <row r="133" spans="1:15" ht="30.75" thickBot="1">
      <c r="A133" s="124" t="s">
        <v>435</v>
      </c>
      <c r="B133" s="130" t="s">
        <v>436</v>
      </c>
      <c r="C133" s="72">
        <f>5000+17117</f>
        <v>22117</v>
      </c>
      <c r="D133" s="72"/>
      <c r="E133" s="72"/>
      <c r="F133" s="72"/>
      <c r="G133" s="120"/>
      <c r="H133" s="176"/>
      <c r="I133" s="176"/>
      <c r="J133" s="134"/>
      <c r="K133" s="134"/>
      <c r="L133" s="134"/>
      <c r="M133" s="134"/>
      <c r="N133" s="134"/>
      <c r="O133" s="102">
        <f t="shared" si="31"/>
        <v>22117</v>
      </c>
    </row>
    <row r="134" spans="1:15" ht="15.75" thickBot="1">
      <c r="A134" s="115" t="s">
        <v>4</v>
      </c>
      <c r="B134" s="26" t="s">
        <v>94</v>
      </c>
      <c r="C134" s="49">
        <f aca="true" t="shared" si="32" ref="C134:N134">SUM(C135,C139)</f>
        <v>996</v>
      </c>
      <c r="D134" s="49">
        <f t="shared" si="32"/>
        <v>280463</v>
      </c>
      <c r="E134" s="49">
        <f t="shared" si="32"/>
        <v>0</v>
      </c>
      <c r="F134" s="49"/>
      <c r="G134" s="27">
        <f t="shared" si="32"/>
        <v>2078</v>
      </c>
      <c r="H134" s="49">
        <f t="shared" si="32"/>
        <v>0</v>
      </c>
      <c r="I134" s="49">
        <f t="shared" si="32"/>
        <v>2209</v>
      </c>
      <c r="J134" s="49">
        <f t="shared" si="32"/>
        <v>0</v>
      </c>
      <c r="K134" s="49">
        <f t="shared" si="32"/>
        <v>13641</v>
      </c>
      <c r="L134" s="49">
        <f t="shared" si="32"/>
        <v>19760</v>
      </c>
      <c r="M134" s="49">
        <f t="shared" si="32"/>
        <v>600</v>
      </c>
      <c r="N134" s="49">
        <f t="shared" si="32"/>
        <v>1644</v>
      </c>
      <c r="O134" s="28">
        <f>SUM(C134:N134)</f>
        <v>321391</v>
      </c>
    </row>
    <row r="135" spans="1:15" s="16" customFormat="1" ht="14.25">
      <c r="A135" s="94" t="s">
        <v>95</v>
      </c>
      <c r="B135" s="95" t="s">
        <v>96</v>
      </c>
      <c r="C135" s="96">
        <f aca="true" t="shared" si="33" ref="C135:N135">SUM(C136:C138)</f>
        <v>996</v>
      </c>
      <c r="D135" s="96">
        <f t="shared" si="33"/>
        <v>280463</v>
      </c>
      <c r="E135" s="96">
        <f t="shared" si="33"/>
        <v>0</v>
      </c>
      <c r="F135" s="96"/>
      <c r="G135" s="51">
        <f t="shared" si="33"/>
        <v>2078</v>
      </c>
      <c r="H135" s="96">
        <f t="shared" si="33"/>
        <v>0</v>
      </c>
      <c r="I135" s="96">
        <f t="shared" si="33"/>
        <v>2209</v>
      </c>
      <c r="J135" s="96">
        <f t="shared" si="33"/>
        <v>0</v>
      </c>
      <c r="K135" s="96">
        <f t="shared" si="33"/>
        <v>13641</v>
      </c>
      <c r="L135" s="96">
        <f t="shared" si="33"/>
        <v>19760</v>
      </c>
      <c r="M135" s="96">
        <f t="shared" si="33"/>
        <v>600</v>
      </c>
      <c r="N135" s="96">
        <f t="shared" si="33"/>
        <v>1644</v>
      </c>
      <c r="O135" s="33">
        <f>SUM(C135:N135)</f>
        <v>321391</v>
      </c>
    </row>
    <row r="136" spans="1:15" ht="15">
      <c r="A136" s="103" t="s">
        <v>274</v>
      </c>
      <c r="B136" s="35" t="s">
        <v>437</v>
      </c>
      <c r="C136" s="36"/>
      <c r="D136" s="5">
        <f>56963+17408</f>
        <v>74371</v>
      </c>
      <c r="E136" s="5"/>
      <c r="F136" s="5"/>
      <c r="G136" s="55"/>
      <c r="H136" s="55"/>
      <c r="I136" s="55"/>
      <c r="J136" s="54"/>
      <c r="K136" s="54"/>
      <c r="L136" s="54"/>
      <c r="M136" s="54"/>
      <c r="N136" s="57"/>
      <c r="O136" s="102">
        <f t="shared" si="31"/>
        <v>74371</v>
      </c>
    </row>
    <row r="137" spans="1:15" ht="30">
      <c r="A137" s="103" t="s">
        <v>274</v>
      </c>
      <c r="B137" s="35" t="s">
        <v>438</v>
      </c>
      <c r="C137" s="36"/>
      <c r="D137" s="5">
        <f>205307+785</f>
        <v>206092</v>
      </c>
      <c r="E137" s="5"/>
      <c r="F137" s="5"/>
      <c r="G137" s="55"/>
      <c r="H137" s="55"/>
      <c r="I137" s="55"/>
      <c r="J137" s="54"/>
      <c r="K137" s="54"/>
      <c r="L137" s="54"/>
      <c r="M137" s="54"/>
      <c r="N137" s="57"/>
      <c r="O137" s="102">
        <f t="shared" si="31"/>
        <v>206092</v>
      </c>
    </row>
    <row r="138" spans="1:15" ht="15">
      <c r="A138" s="103" t="s">
        <v>275</v>
      </c>
      <c r="B138" s="35" t="s">
        <v>177</v>
      </c>
      <c r="C138" s="36">
        <v>996</v>
      </c>
      <c r="D138" s="5"/>
      <c r="E138" s="5"/>
      <c r="F138" s="5"/>
      <c r="G138" s="41">
        <v>2078</v>
      </c>
      <c r="H138" s="55"/>
      <c r="I138" s="41">
        <v>2209</v>
      </c>
      <c r="J138" s="54"/>
      <c r="K138" s="54">
        <v>13641</v>
      </c>
      <c r="L138" s="54">
        <v>19760</v>
      </c>
      <c r="M138" s="54">
        <v>600</v>
      </c>
      <c r="N138" s="57">
        <v>1644</v>
      </c>
      <c r="O138" s="102">
        <f t="shared" si="31"/>
        <v>40928</v>
      </c>
    </row>
    <row r="139" spans="1:15" ht="15.75" thickBot="1">
      <c r="A139" s="129"/>
      <c r="B139" s="70"/>
      <c r="C139" s="72"/>
      <c r="D139" s="72"/>
      <c r="E139" s="72"/>
      <c r="F139" s="72"/>
      <c r="G139" s="120"/>
      <c r="H139" s="120"/>
      <c r="I139" s="120"/>
      <c r="J139" s="134"/>
      <c r="K139" s="134"/>
      <c r="L139" s="134"/>
      <c r="M139" s="134"/>
      <c r="N139" s="134"/>
      <c r="O139" s="102">
        <f t="shared" si="31"/>
        <v>0</v>
      </c>
    </row>
    <row r="140" spans="1:15" ht="15.75" thickBot="1">
      <c r="A140" s="115" t="s">
        <v>6</v>
      </c>
      <c r="B140" s="26" t="s">
        <v>97</v>
      </c>
      <c r="C140" s="49">
        <f>C141+C145+C161+C162</f>
        <v>1679342</v>
      </c>
      <c r="D140" s="49">
        <f aca="true" t="shared" si="34" ref="D140:M140">D141+D145+D161+D162</f>
        <v>0</v>
      </c>
      <c r="E140" s="49">
        <f t="shared" si="34"/>
        <v>1312047</v>
      </c>
      <c r="F140" s="49">
        <f t="shared" si="34"/>
        <v>0</v>
      </c>
      <c r="G140" s="49">
        <f t="shared" si="34"/>
        <v>226795</v>
      </c>
      <c r="H140" s="49">
        <f t="shared" si="34"/>
        <v>87897</v>
      </c>
      <c r="I140" s="49">
        <f t="shared" si="34"/>
        <v>94569</v>
      </c>
      <c r="J140" s="49">
        <f t="shared" si="34"/>
        <v>176042</v>
      </c>
      <c r="K140" s="49">
        <f t="shared" si="34"/>
        <v>27408</v>
      </c>
      <c r="L140" s="49">
        <f t="shared" si="34"/>
        <v>31201</v>
      </c>
      <c r="M140" s="49">
        <f t="shared" si="34"/>
        <v>71780</v>
      </c>
      <c r="N140" s="49">
        <f>N141+N145+N161+N162</f>
        <v>53315</v>
      </c>
      <c r="O140" s="28">
        <f t="shared" si="31"/>
        <v>3760396</v>
      </c>
    </row>
    <row r="141" spans="1:15" ht="15">
      <c r="A141" s="94" t="s">
        <v>98</v>
      </c>
      <c r="B141" s="95" t="s">
        <v>99</v>
      </c>
      <c r="C141" s="96">
        <f aca="true" t="shared" si="35" ref="C141:N141">SUM(C142:C144)</f>
        <v>355397</v>
      </c>
      <c r="D141" s="96">
        <f t="shared" si="35"/>
        <v>0</v>
      </c>
      <c r="E141" s="96">
        <f t="shared" si="35"/>
        <v>0</v>
      </c>
      <c r="F141" s="96">
        <f t="shared" si="35"/>
        <v>0</v>
      </c>
      <c r="G141" s="96">
        <f t="shared" si="35"/>
        <v>6989</v>
      </c>
      <c r="H141" s="96">
        <f t="shared" si="35"/>
        <v>0</v>
      </c>
      <c r="I141" s="96">
        <f t="shared" si="35"/>
        <v>0</v>
      </c>
      <c r="J141" s="96">
        <f t="shared" si="35"/>
        <v>5691</v>
      </c>
      <c r="K141" s="96">
        <f t="shared" si="35"/>
        <v>0</v>
      </c>
      <c r="L141" s="96">
        <f t="shared" si="35"/>
        <v>0</v>
      </c>
      <c r="M141" s="96">
        <f t="shared" si="35"/>
        <v>9399</v>
      </c>
      <c r="N141" s="96">
        <f t="shared" si="35"/>
        <v>0</v>
      </c>
      <c r="O141" s="99">
        <f t="shared" si="31"/>
        <v>377476</v>
      </c>
    </row>
    <row r="142" spans="1:15" ht="15">
      <c r="A142" s="103" t="s">
        <v>276</v>
      </c>
      <c r="B142" s="35" t="s">
        <v>100</v>
      </c>
      <c r="C142" s="36">
        <v>51685</v>
      </c>
      <c r="D142" s="5"/>
      <c r="E142" s="5"/>
      <c r="F142" s="5"/>
      <c r="G142" s="41"/>
      <c r="H142" s="55"/>
      <c r="I142" s="55"/>
      <c r="J142" s="54">
        <v>5691</v>
      </c>
      <c r="K142" s="54"/>
      <c r="L142" s="54"/>
      <c r="M142" s="54">
        <f>7399+2000</f>
        <v>9399</v>
      </c>
      <c r="N142" s="57"/>
      <c r="O142" s="102">
        <f t="shared" si="31"/>
        <v>66775</v>
      </c>
    </row>
    <row r="143" spans="1:15" ht="30">
      <c r="A143" s="103" t="s">
        <v>277</v>
      </c>
      <c r="B143" s="35" t="s">
        <v>101</v>
      </c>
      <c r="C143" s="36">
        <f>206162-2450</f>
        <v>203712</v>
      </c>
      <c r="D143" s="5"/>
      <c r="E143" s="5"/>
      <c r="F143" s="5"/>
      <c r="G143" s="41">
        <v>6989</v>
      </c>
      <c r="H143" s="55"/>
      <c r="I143" s="55"/>
      <c r="J143" s="54"/>
      <c r="K143" s="54"/>
      <c r="L143" s="54"/>
      <c r="M143" s="54"/>
      <c r="N143" s="57"/>
      <c r="O143" s="102">
        <f t="shared" si="31"/>
        <v>210701</v>
      </c>
    </row>
    <row r="144" spans="1:15" ht="15">
      <c r="A144" s="103" t="s">
        <v>439</v>
      </c>
      <c r="B144" s="130" t="s">
        <v>440</v>
      </c>
      <c r="C144" s="36">
        <v>100000</v>
      </c>
      <c r="D144" s="36"/>
      <c r="E144" s="36"/>
      <c r="F144" s="36"/>
      <c r="G144" s="41"/>
      <c r="H144" s="140"/>
      <c r="I144" s="140"/>
      <c r="J144" s="57"/>
      <c r="K144" s="57"/>
      <c r="L144" s="57"/>
      <c r="M144" s="57"/>
      <c r="N144" s="57"/>
      <c r="O144" s="102">
        <f t="shared" si="31"/>
        <v>100000</v>
      </c>
    </row>
    <row r="145" spans="1:15" ht="15">
      <c r="A145" s="100" t="s">
        <v>102</v>
      </c>
      <c r="B145" s="105" t="s">
        <v>5</v>
      </c>
      <c r="C145" s="101">
        <f>SUM(C146:C152)</f>
        <v>1188197</v>
      </c>
      <c r="D145" s="101">
        <f aca="true" t="shared" si="36" ref="D145:M145">SUM(D146:D152)</f>
        <v>0</v>
      </c>
      <c r="E145" s="101">
        <f>SUM(E146:E152)</f>
        <v>1312047</v>
      </c>
      <c r="F145" s="101">
        <f t="shared" si="36"/>
        <v>0</v>
      </c>
      <c r="G145" s="8">
        <f t="shared" si="36"/>
        <v>219806</v>
      </c>
      <c r="H145" s="101">
        <f t="shared" si="36"/>
        <v>87897</v>
      </c>
      <c r="I145" s="101">
        <f t="shared" si="36"/>
        <v>91511</v>
      </c>
      <c r="J145" s="101">
        <f t="shared" si="36"/>
        <v>167051</v>
      </c>
      <c r="K145" s="101">
        <f t="shared" si="36"/>
        <v>27408</v>
      </c>
      <c r="L145" s="101">
        <f t="shared" si="36"/>
        <v>31201</v>
      </c>
      <c r="M145" s="101">
        <f t="shared" si="36"/>
        <v>62381</v>
      </c>
      <c r="N145" s="101">
        <f>SUM(N146:N152)</f>
        <v>53315</v>
      </c>
      <c r="O145" s="102">
        <f t="shared" si="31"/>
        <v>3240814</v>
      </c>
    </row>
    <row r="146" spans="1:15" ht="15">
      <c r="A146" s="103" t="s">
        <v>103</v>
      </c>
      <c r="B146" s="35" t="s">
        <v>178</v>
      </c>
      <c r="C146" s="36">
        <f>347451+3009+5000</f>
        <v>355460</v>
      </c>
      <c r="D146" s="5"/>
      <c r="E146" s="5"/>
      <c r="F146" s="5"/>
      <c r="G146" s="184">
        <v>35097</v>
      </c>
      <c r="H146" s="41">
        <v>19971</v>
      </c>
      <c r="I146" s="41">
        <v>11650</v>
      </c>
      <c r="J146" s="54">
        <v>35176</v>
      </c>
      <c r="K146" s="54">
        <v>14189</v>
      </c>
      <c r="L146" s="54">
        <v>13456</v>
      </c>
      <c r="M146" s="54">
        <v>15365</v>
      </c>
      <c r="N146" s="106">
        <v>14606</v>
      </c>
      <c r="O146" s="102">
        <f t="shared" si="31"/>
        <v>514970</v>
      </c>
    </row>
    <row r="147" spans="1:15" ht="15">
      <c r="A147" s="103" t="s">
        <v>104</v>
      </c>
      <c r="B147" s="35" t="s">
        <v>142</v>
      </c>
      <c r="C147" s="36"/>
      <c r="D147" s="5"/>
      <c r="E147" s="5"/>
      <c r="F147" s="5"/>
      <c r="G147" s="55"/>
      <c r="H147" s="55"/>
      <c r="I147" s="41"/>
      <c r="J147" s="54"/>
      <c r="K147" s="54"/>
      <c r="L147" s="54"/>
      <c r="M147" s="54">
        <v>3152</v>
      </c>
      <c r="N147" s="106"/>
      <c r="O147" s="102">
        <f t="shared" si="31"/>
        <v>3152</v>
      </c>
    </row>
    <row r="148" spans="1:15" ht="15">
      <c r="A148" s="103" t="s">
        <v>278</v>
      </c>
      <c r="B148" s="35" t="s">
        <v>143</v>
      </c>
      <c r="C148" s="36">
        <v>660</v>
      </c>
      <c r="D148" s="5"/>
      <c r="E148" s="5"/>
      <c r="F148" s="5"/>
      <c r="G148" s="55"/>
      <c r="H148" s="55"/>
      <c r="I148" s="41"/>
      <c r="J148" s="54"/>
      <c r="K148" s="54"/>
      <c r="L148" s="54"/>
      <c r="M148" s="54"/>
      <c r="N148" s="106"/>
      <c r="O148" s="102">
        <f t="shared" si="31"/>
        <v>660</v>
      </c>
    </row>
    <row r="149" spans="1:15" ht="15">
      <c r="A149" s="103" t="s">
        <v>279</v>
      </c>
      <c r="B149" s="35" t="s">
        <v>353</v>
      </c>
      <c r="C149" s="36">
        <f>574643+2295-15895</f>
        <v>561043</v>
      </c>
      <c r="D149" s="5"/>
      <c r="E149" s="5"/>
      <c r="F149" s="5"/>
      <c r="G149" s="55"/>
      <c r="H149" s="55"/>
      <c r="I149" s="41"/>
      <c r="J149" s="54"/>
      <c r="K149" s="54"/>
      <c r="L149" s="54"/>
      <c r="M149" s="54"/>
      <c r="N149" s="106"/>
      <c r="O149" s="102">
        <f t="shared" si="31"/>
        <v>561043</v>
      </c>
    </row>
    <row r="150" spans="1:15" ht="15">
      <c r="A150" s="103" t="s">
        <v>105</v>
      </c>
      <c r="B150" s="35" t="s">
        <v>280</v>
      </c>
      <c r="C150" s="36"/>
      <c r="D150" s="5"/>
      <c r="E150" s="5">
        <v>252263</v>
      </c>
      <c r="F150" s="5"/>
      <c r="G150" s="184">
        <v>184709</v>
      </c>
      <c r="H150" s="41">
        <v>67926</v>
      </c>
      <c r="I150" s="41">
        <v>77861</v>
      </c>
      <c r="J150" s="54">
        <v>129063</v>
      </c>
      <c r="K150" s="54">
        <v>13219</v>
      </c>
      <c r="L150" s="54">
        <v>17745</v>
      </c>
      <c r="M150" s="54">
        <v>43864</v>
      </c>
      <c r="N150" s="104">
        <f>25822+5000+387</f>
        <v>31209</v>
      </c>
      <c r="O150" s="102">
        <f t="shared" si="31"/>
        <v>817859</v>
      </c>
    </row>
    <row r="151" spans="1:15" ht="30">
      <c r="A151" s="103" t="s">
        <v>105</v>
      </c>
      <c r="B151" s="35" t="s">
        <v>144</v>
      </c>
      <c r="C151" s="36"/>
      <c r="D151" s="5"/>
      <c r="E151" s="5">
        <v>1059784</v>
      </c>
      <c r="F151" s="5"/>
      <c r="G151" s="55"/>
      <c r="H151" s="55"/>
      <c r="I151" s="55"/>
      <c r="J151" s="54"/>
      <c r="K151" s="54"/>
      <c r="L151" s="54"/>
      <c r="M151" s="54"/>
      <c r="N151" s="57"/>
      <c r="O151" s="102">
        <f t="shared" si="31"/>
        <v>1059784</v>
      </c>
    </row>
    <row r="152" spans="1:15" s="16" customFormat="1" ht="14.25">
      <c r="A152" s="100" t="s">
        <v>106</v>
      </c>
      <c r="B152" s="66" t="s">
        <v>281</v>
      </c>
      <c r="C152" s="136">
        <f>SUM(C153:C160)</f>
        <v>271034</v>
      </c>
      <c r="D152" s="136">
        <f aca="true" t="shared" si="37" ref="D152:N152">SUM(D153:D160)</f>
        <v>0</v>
      </c>
      <c r="E152" s="136">
        <f t="shared" si="37"/>
        <v>0</v>
      </c>
      <c r="F152" s="136">
        <f t="shared" si="37"/>
        <v>0</v>
      </c>
      <c r="G152" s="136">
        <f t="shared" si="37"/>
        <v>0</v>
      </c>
      <c r="H152" s="136">
        <f t="shared" si="37"/>
        <v>0</v>
      </c>
      <c r="I152" s="136">
        <f t="shared" si="37"/>
        <v>2000</v>
      </c>
      <c r="J152" s="136">
        <f t="shared" si="37"/>
        <v>2812</v>
      </c>
      <c r="K152" s="136">
        <f t="shared" si="37"/>
        <v>0</v>
      </c>
      <c r="L152" s="136">
        <f t="shared" si="37"/>
        <v>0</v>
      </c>
      <c r="M152" s="136">
        <f t="shared" si="37"/>
        <v>0</v>
      </c>
      <c r="N152" s="136">
        <f t="shared" si="37"/>
        <v>7500</v>
      </c>
      <c r="O152" s="102">
        <f t="shared" si="31"/>
        <v>283346</v>
      </c>
    </row>
    <row r="153" spans="1:15" ht="15">
      <c r="A153" s="103" t="s">
        <v>282</v>
      </c>
      <c r="B153" s="126" t="s">
        <v>145</v>
      </c>
      <c r="C153" s="36">
        <f>117775+13651-6476</f>
        <v>124950</v>
      </c>
      <c r="D153" s="5"/>
      <c r="E153" s="5"/>
      <c r="F153" s="5"/>
      <c r="G153" s="41"/>
      <c r="H153" s="55"/>
      <c r="I153" s="41"/>
      <c r="J153" s="54"/>
      <c r="K153" s="54"/>
      <c r="L153" s="54"/>
      <c r="M153" s="54"/>
      <c r="N153" s="57">
        <v>7500</v>
      </c>
      <c r="O153" s="102">
        <f t="shared" si="31"/>
        <v>132450</v>
      </c>
    </row>
    <row r="154" spans="1:15" ht="15">
      <c r="A154" s="103" t="s">
        <v>283</v>
      </c>
      <c r="B154" s="126" t="s">
        <v>146</v>
      </c>
      <c r="C154" s="36">
        <f>22870-992</f>
        <v>21878</v>
      </c>
      <c r="D154" s="5"/>
      <c r="E154" s="5"/>
      <c r="F154" s="5"/>
      <c r="G154" s="55"/>
      <c r="H154" s="55"/>
      <c r="I154" s="55"/>
      <c r="J154" s="54"/>
      <c r="K154" s="54"/>
      <c r="L154" s="54"/>
      <c r="M154" s="54"/>
      <c r="N154" s="57"/>
      <c r="O154" s="102">
        <f t="shared" si="31"/>
        <v>21878</v>
      </c>
    </row>
    <row r="155" spans="1:15" ht="15">
      <c r="A155" s="103" t="s">
        <v>284</v>
      </c>
      <c r="B155" s="132" t="s">
        <v>147</v>
      </c>
      <c r="C155" s="36">
        <v>450</v>
      </c>
      <c r="D155" s="5"/>
      <c r="E155" s="5"/>
      <c r="F155" s="5"/>
      <c r="G155" s="55"/>
      <c r="H155" s="55"/>
      <c r="I155" s="55"/>
      <c r="J155" s="54"/>
      <c r="K155" s="54"/>
      <c r="L155" s="54"/>
      <c r="M155" s="54"/>
      <c r="N155" s="57"/>
      <c r="O155" s="102">
        <f t="shared" si="31"/>
        <v>450</v>
      </c>
    </row>
    <row r="156" spans="1:15" ht="15">
      <c r="A156" s="103" t="s">
        <v>441</v>
      </c>
      <c r="B156" s="132" t="s">
        <v>442</v>
      </c>
      <c r="C156" s="36">
        <f>46241+30082</f>
        <v>76323</v>
      </c>
      <c r="D156" s="5"/>
      <c r="E156" s="5"/>
      <c r="F156" s="5"/>
      <c r="G156" s="55"/>
      <c r="H156" s="55"/>
      <c r="I156" s="55"/>
      <c r="J156" s="54"/>
      <c r="K156" s="54"/>
      <c r="L156" s="54"/>
      <c r="M156" s="54"/>
      <c r="N156" s="57"/>
      <c r="O156" s="102">
        <f t="shared" si="31"/>
        <v>76323</v>
      </c>
    </row>
    <row r="157" spans="1:15" ht="30">
      <c r="A157" s="103" t="s">
        <v>443</v>
      </c>
      <c r="B157" s="132" t="s">
        <v>444</v>
      </c>
      <c r="C157" s="36">
        <f>4000-725</f>
        <v>3275</v>
      </c>
      <c r="D157" s="5"/>
      <c r="E157" s="5"/>
      <c r="F157" s="5"/>
      <c r="G157" s="55"/>
      <c r="H157" s="55"/>
      <c r="I157" s="55"/>
      <c r="J157" s="54"/>
      <c r="K157" s="54"/>
      <c r="L157" s="54"/>
      <c r="M157" s="54"/>
      <c r="N157" s="57"/>
      <c r="O157" s="102">
        <f t="shared" si="31"/>
        <v>3275</v>
      </c>
    </row>
    <row r="158" spans="1:15" ht="15">
      <c r="A158" s="103" t="s">
        <v>354</v>
      </c>
      <c r="B158" s="126" t="s">
        <v>382</v>
      </c>
      <c r="C158" s="36"/>
      <c r="D158" s="5"/>
      <c r="E158" s="5"/>
      <c r="F158" s="5"/>
      <c r="G158" s="55"/>
      <c r="H158" s="55"/>
      <c r="I158" s="41">
        <v>2000</v>
      </c>
      <c r="J158" s="54"/>
      <c r="K158" s="54"/>
      <c r="L158" s="54"/>
      <c r="M158" s="54"/>
      <c r="N158" s="57"/>
      <c r="O158" s="102">
        <f t="shared" si="31"/>
        <v>2000</v>
      </c>
    </row>
    <row r="159" spans="1:15" ht="45">
      <c r="A159" s="103" t="s">
        <v>401</v>
      </c>
      <c r="B159" s="130" t="s">
        <v>392</v>
      </c>
      <c r="C159" s="36"/>
      <c r="D159" s="5"/>
      <c r="E159" s="5"/>
      <c r="F159" s="5"/>
      <c r="G159" s="41"/>
      <c r="H159" s="55"/>
      <c r="I159" s="55"/>
      <c r="J159" s="54"/>
      <c r="K159" s="54"/>
      <c r="L159" s="54"/>
      <c r="M159" s="54"/>
      <c r="N159" s="57"/>
      <c r="O159" s="102">
        <f t="shared" si="31"/>
        <v>0</v>
      </c>
    </row>
    <row r="160" spans="1:15" ht="30">
      <c r="A160" s="103" t="s">
        <v>445</v>
      </c>
      <c r="B160" s="130" t="s">
        <v>446</v>
      </c>
      <c r="C160" s="36">
        <f>47000-2842</f>
        <v>44158</v>
      </c>
      <c r="D160" s="5"/>
      <c r="E160" s="5"/>
      <c r="F160" s="5"/>
      <c r="G160" s="41"/>
      <c r="H160" s="55"/>
      <c r="I160" s="55"/>
      <c r="J160" s="54">
        <v>2812</v>
      </c>
      <c r="K160" s="54"/>
      <c r="L160" s="54"/>
      <c r="M160" s="54"/>
      <c r="N160" s="57"/>
      <c r="O160" s="102">
        <f t="shared" si="31"/>
        <v>46970</v>
      </c>
    </row>
    <row r="161" spans="1:15" ht="15">
      <c r="A161" s="100" t="s">
        <v>285</v>
      </c>
      <c r="B161" s="66" t="s">
        <v>107</v>
      </c>
      <c r="C161" s="101">
        <v>42598</v>
      </c>
      <c r="D161" s="8"/>
      <c r="E161" s="8"/>
      <c r="F161" s="8"/>
      <c r="G161" s="55"/>
      <c r="H161" s="55"/>
      <c r="I161" s="55"/>
      <c r="J161" s="54"/>
      <c r="K161" s="54"/>
      <c r="L161" s="54"/>
      <c r="M161" s="54"/>
      <c r="N161" s="57"/>
      <c r="O161" s="102">
        <f t="shared" si="31"/>
        <v>42598</v>
      </c>
    </row>
    <row r="162" spans="1:15" ht="30" thickBot="1">
      <c r="A162" s="100" t="s">
        <v>108</v>
      </c>
      <c r="B162" s="66" t="s">
        <v>109</v>
      </c>
      <c r="C162" s="101">
        <f>94990-1840</f>
        <v>93150</v>
      </c>
      <c r="D162" s="8"/>
      <c r="E162" s="8"/>
      <c r="F162" s="8"/>
      <c r="G162" s="55"/>
      <c r="H162" s="55"/>
      <c r="I162" s="41">
        <v>3058</v>
      </c>
      <c r="J162" s="54">
        <v>3300</v>
      </c>
      <c r="K162" s="54"/>
      <c r="L162" s="54"/>
      <c r="M162" s="54"/>
      <c r="N162" s="57"/>
      <c r="O162" s="102">
        <f t="shared" si="31"/>
        <v>99508</v>
      </c>
    </row>
    <row r="163" spans="1:15" ht="15.75" thickBot="1">
      <c r="A163" s="137" t="s">
        <v>110</v>
      </c>
      <c r="B163" s="127" t="s">
        <v>0</v>
      </c>
      <c r="C163" s="27">
        <f aca="true" t="shared" si="38" ref="C163:N163">C164+C175+C176+C187+C194+C196+C197+C198</f>
        <v>13197484.697</v>
      </c>
      <c r="D163" s="27">
        <f t="shared" si="38"/>
        <v>0</v>
      </c>
      <c r="E163" s="27">
        <f t="shared" si="38"/>
        <v>0</v>
      </c>
      <c r="F163" s="27">
        <f t="shared" si="38"/>
        <v>0</v>
      </c>
      <c r="G163" s="27">
        <f t="shared" si="38"/>
        <v>1575964</v>
      </c>
      <c r="H163" s="27">
        <f t="shared" si="38"/>
        <v>0</v>
      </c>
      <c r="I163" s="27">
        <f t="shared" si="38"/>
        <v>431893</v>
      </c>
      <c r="J163" s="27">
        <f>J164+J175+J176+J187+J194+J196+J197+J198</f>
        <v>1276568</v>
      </c>
      <c r="K163" s="27">
        <f t="shared" si="38"/>
        <v>18915</v>
      </c>
      <c r="L163" s="27">
        <f t="shared" si="38"/>
        <v>16139</v>
      </c>
      <c r="M163" s="27">
        <f t="shared" si="38"/>
        <v>21960</v>
      </c>
      <c r="N163" s="27">
        <f t="shared" si="38"/>
        <v>568737</v>
      </c>
      <c r="O163" s="28">
        <f t="shared" si="31"/>
        <v>17107660.697</v>
      </c>
    </row>
    <row r="164" spans="1:15" ht="15">
      <c r="A164" s="94" t="s">
        <v>111</v>
      </c>
      <c r="B164" s="95" t="s">
        <v>286</v>
      </c>
      <c r="C164" s="96">
        <f>SUM(C165:C174)</f>
        <v>3886158</v>
      </c>
      <c r="D164" s="96">
        <f>SUM(D165:D174)</f>
        <v>0</v>
      </c>
      <c r="E164" s="96">
        <f>SUM(E165:E174)</f>
        <v>0</v>
      </c>
      <c r="F164" s="96">
        <f>SUM(F165:F174)</f>
        <v>0</v>
      </c>
      <c r="G164" s="51">
        <f aca="true" t="shared" si="39" ref="G164:N164">SUM(G165:G174)</f>
        <v>0</v>
      </c>
      <c r="H164" s="51">
        <f t="shared" si="39"/>
        <v>0</v>
      </c>
      <c r="I164" s="51">
        <f t="shared" si="39"/>
        <v>136039</v>
      </c>
      <c r="J164" s="96">
        <f t="shared" si="39"/>
        <v>313621</v>
      </c>
      <c r="K164" s="96">
        <f t="shared" si="39"/>
        <v>0</v>
      </c>
      <c r="L164" s="96">
        <f t="shared" si="39"/>
        <v>0</v>
      </c>
      <c r="M164" s="96">
        <f t="shared" si="39"/>
        <v>0</v>
      </c>
      <c r="N164" s="96">
        <f t="shared" si="39"/>
        <v>0</v>
      </c>
      <c r="O164" s="99">
        <f t="shared" si="31"/>
        <v>4335818</v>
      </c>
    </row>
    <row r="165" spans="1:15" ht="15">
      <c r="A165" s="103" t="s">
        <v>287</v>
      </c>
      <c r="B165" s="138" t="s">
        <v>112</v>
      </c>
      <c r="C165" s="5">
        <v>289725</v>
      </c>
      <c r="D165" s="5"/>
      <c r="E165" s="5"/>
      <c r="F165" s="5"/>
      <c r="G165" s="55"/>
      <c r="H165" s="55"/>
      <c r="I165" s="55"/>
      <c r="J165" s="54"/>
      <c r="K165" s="54"/>
      <c r="L165" s="54"/>
      <c r="M165" s="54"/>
      <c r="N165" s="57"/>
      <c r="O165" s="102">
        <f t="shared" si="31"/>
        <v>289725</v>
      </c>
    </row>
    <row r="166" spans="1:15" ht="15">
      <c r="A166" s="103" t="s">
        <v>288</v>
      </c>
      <c r="B166" s="138" t="s">
        <v>113</v>
      </c>
      <c r="C166" s="36">
        <v>538591</v>
      </c>
      <c r="D166" s="5"/>
      <c r="E166" s="5"/>
      <c r="F166" s="5"/>
      <c r="G166" s="55"/>
      <c r="H166" s="55"/>
      <c r="I166" s="55"/>
      <c r="J166" s="54"/>
      <c r="K166" s="54"/>
      <c r="L166" s="54"/>
      <c r="M166" s="54"/>
      <c r="N166" s="57"/>
      <c r="O166" s="102">
        <f t="shared" si="31"/>
        <v>538591</v>
      </c>
    </row>
    <row r="167" spans="1:15" ht="15">
      <c r="A167" s="103" t="s">
        <v>289</v>
      </c>
      <c r="B167" s="138" t="s">
        <v>114</v>
      </c>
      <c r="C167" s="36">
        <v>545996</v>
      </c>
      <c r="D167" s="5"/>
      <c r="E167" s="5"/>
      <c r="F167" s="5"/>
      <c r="G167" s="55"/>
      <c r="H167" s="55"/>
      <c r="I167" s="55"/>
      <c r="J167" s="54"/>
      <c r="K167" s="54"/>
      <c r="L167" s="54"/>
      <c r="M167" s="54"/>
      <c r="N167" s="57"/>
      <c r="O167" s="102">
        <f t="shared" si="31"/>
        <v>545996</v>
      </c>
    </row>
    <row r="168" spans="1:15" ht="15">
      <c r="A168" s="103" t="s">
        <v>290</v>
      </c>
      <c r="B168" s="138" t="s">
        <v>115</v>
      </c>
      <c r="C168" s="36">
        <v>618581</v>
      </c>
      <c r="D168" s="5"/>
      <c r="E168" s="5"/>
      <c r="F168" s="5"/>
      <c r="G168" s="55"/>
      <c r="H168" s="55"/>
      <c r="I168" s="55"/>
      <c r="J168" s="54"/>
      <c r="K168" s="54"/>
      <c r="L168" s="54"/>
      <c r="M168" s="54"/>
      <c r="N168" s="57"/>
      <c r="O168" s="102">
        <f t="shared" si="31"/>
        <v>618581</v>
      </c>
    </row>
    <row r="169" spans="1:15" ht="15">
      <c r="A169" s="103" t="s">
        <v>291</v>
      </c>
      <c r="B169" s="138" t="s">
        <v>116</v>
      </c>
      <c r="C169" s="36">
        <v>650840</v>
      </c>
      <c r="D169" s="5"/>
      <c r="E169" s="5"/>
      <c r="F169" s="5"/>
      <c r="G169" s="55"/>
      <c r="H169" s="55"/>
      <c r="I169" s="41">
        <v>136039</v>
      </c>
      <c r="J169" s="54"/>
      <c r="K169" s="54"/>
      <c r="L169" s="54"/>
      <c r="M169" s="54"/>
      <c r="N169" s="57"/>
      <c r="O169" s="102">
        <f t="shared" si="31"/>
        <v>786879</v>
      </c>
    </row>
    <row r="170" spans="1:15" ht="15">
      <c r="A170" s="103" t="s">
        <v>292</v>
      </c>
      <c r="B170" s="138" t="s">
        <v>117</v>
      </c>
      <c r="C170" s="36">
        <v>343166</v>
      </c>
      <c r="D170" s="5"/>
      <c r="E170" s="5"/>
      <c r="F170" s="5"/>
      <c r="G170" s="55"/>
      <c r="H170" s="55"/>
      <c r="I170" s="55"/>
      <c r="J170" s="54"/>
      <c r="K170" s="54"/>
      <c r="L170" s="54"/>
      <c r="M170" s="54"/>
      <c r="N170" s="57"/>
      <c r="O170" s="102">
        <f t="shared" si="31"/>
        <v>343166</v>
      </c>
    </row>
    <row r="171" spans="1:15" ht="15">
      <c r="A171" s="103" t="s">
        <v>293</v>
      </c>
      <c r="B171" s="138" t="s">
        <v>148</v>
      </c>
      <c r="C171" s="36">
        <v>510530</v>
      </c>
      <c r="D171" s="5"/>
      <c r="E171" s="5"/>
      <c r="F171" s="5"/>
      <c r="G171" s="55"/>
      <c r="H171" s="55"/>
      <c r="I171" s="55"/>
      <c r="J171" s="54"/>
      <c r="K171" s="54"/>
      <c r="L171" s="54"/>
      <c r="M171" s="54"/>
      <c r="N171" s="57"/>
      <c r="O171" s="102">
        <f t="shared" si="31"/>
        <v>510530</v>
      </c>
    </row>
    <row r="172" spans="1:15" ht="15">
      <c r="A172" s="103" t="s">
        <v>294</v>
      </c>
      <c r="B172" s="138" t="s">
        <v>179</v>
      </c>
      <c r="C172" s="36">
        <v>353729</v>
      </c>
      <c r="D172" s="36"/>
      <c r="E172" s="36"/>
      <c r="F172" s="36"/>
      <c r="G172" s="55"/>
      <c r="H172" s="55"/>
      <c r="I172" s="41"/>
      <c r="J172" s="57"/>
      <c r="K172" s="57"/>
      <c r="L172" s="57"/>
      <c r="M172" s="57"/>
      <c r="N172" s="57"/>
      <c r="O172" s="102">
        <f t="shared" si="31"/>
        <v>353729</v>
      </c>
    </row>
    <row r="173" spans="1:15" ht="15">
      <c r="A173" s="103" t="s">
        <v>295</v>
      </c>
      <c r="B173" s="138" t="s">
        <v>180</v>
      </c>
      <c r="C173" s="36"/>
      <c r="D173" s="36"/>
      <c r="E173" s="36"/>
      <c r="F173" s="36"/>
      <c r="G173" s="55"/>
      <c r="H173" s="55"/>
      <c r="I173" s="55"/>
      <c r="J173" s="54">
        <v>313621</v>
      </c>
      <c r="K173" s="57"/>
      <c r="L173" s="57"/>
      <c r="M173" s="57"/>
      <c r="N173" s="57"/>
      <c r="O173" s="102">
        <f t="shared" si="31"/>
        <v>313621</v>
      </c>
    </row>
    <row r="174" spans="1:15" ht="30">
      <c r="A174" s="103" t="s">
        <v>296</v>
      </c>
      <c r="B174" s="138" t="s">
        <v>447</v>
      </c>
      <c r="C174" s="36">
        <v>35000</v>
      </c>
      <c r="D174" s="36"/>
      <c r="E174" s="36"/>
      <c r="F174" s="36"/>
      <c r="G174" s="55"/>
      <c r="H174" s="55"/>
      <c r="I174" s="55"/>
      <c r="J174" s="57"/>
      <c r="K174" s="57"/>
      <c r="L174" s="57"/>
      <c r="M174" s="57"/>
      <c r="N174" s="135"/>
      <c r="O174" s="102">
        <f>SUM(C174:N174)</f>
        <v>35000</v>
      </c>
    </row>
    <row r="175" spans="1:15" ht="15">
      <c r="A175" s="100" t="s">
        <v>118</v>
      </c>
      <c r="B175" s="139" t="s">
        <v>297</v>
      </c>
      <c r="C175" s="36">
        <v>1018342</v>
      </c>
      <c r="D175" s="36"/>
      <c r="E175" s="36"/>
      <c r="F175" s="36"/>
      <c r="G175" s="184"/>
      <c r="H175" s="140"/>
      <c r="I175" s="140"/>
      <c r="J175" s="57"/>
      <c r="K175" s="57"/>
      <c r="L175" s="57"/>
      <c r="M175" s="57"/>
      <c r="N175" s="57"/>
      <c r="O175" s="102">
        <f>SUM(C175:N175)</f>
        <v>1018342</v>
      </c>
    </row>
    <row r="176" spans="1:15" ht="29.25">
      <c r="A176" s="100" t="s">
        <v>183</v>
      </c>
      <c r="B176" s="66" t="s">
        <v>298</v>
      </c>
      <c r="C176" s="101">
        <f aca="true" t="shared" si="40" ref="C176:N176">SUM(C177:C186)</f>
        <v>5448073</v>
      </c>
      <c r="D176" s="101">
        <f t="shared" si="40"/>
        <v>0</v>
      </c>
      <c r="E176" s="101">
        <f t="shared" si="40"/>
        <v>0</v>
      </c>
      <c r="F176" s="101">
        <f t="shared" si="40"/>
        <v>0</v>
      </c>
      <c r="G176" s="8">
        <f t="shared" si="40"/>
        <v>1558737</v>
      </c>
      <c r="H176" s="101">
        <f t="shared" si="40"/>
        <v>0</v>
      </c>
      <c r="I176" s="101">
        <f t="shared" si="40"/>
        <v>276626</v>
      </c>
      <c r="J176" s="101">
        <f t="shared" si="40"/>
        <v>681632</v>
      </c>
      <c r="K176" s="101">
        <f t="shared" si="40"/>
        <v>0</v>
      </c>
      <c r="L176" s="101">
        <f t="shared" si="40"/>
        <v>0</v>
      </c>
      <c r="M176" s="101">
        <f t="shared" si="40"/>
        <v>9000</v>
      </c>
      <c r="N176" s="101">
        <f t="shared" si="40"/>
        <v>548018</v>
      </c>
      <c r="O176" s="102">
        <f t="shared" si="31"/>
        <v>8522086</v>
      </c>
    </row>
    <row r="177" spans="1:15" ht="15">
      <c r="A177" s="103" t="s">
        <v>299</v>
      </c>
      <c r="B177" s="138" t="s">
        <v>119</v>
      </c>
      <c r="C177" s="36">
        <v>2628393</v>
      </c>
      <c r="D177" s="5"/>
      <c r="E177" s="5"/>
      <c r="F177" s="5"/>
      <c r="G177" s="55"/>
      <c r="H177" s="55"/>
      <c r="I177" s="55"/>
      <c r="J177" s="54"/>
      <c r="K177" s="54"/>
      <c r="L177" s="54"/>
      <c r="M177" s="54"/>
      <c r="N177" s="57"/>
      <c r="O177" s="102">
        <f t="shared" si="31"/>
        <v>2628393</v>
      </c>
    </row>
    <row r="178" spans="1:15" ht="15">
      <c r="A178" s="103" t="s">
        <v>300</v>
      </c>
      <c r="B178" s="138" t="s">
        <v>301</v>
      </c>
      <c r="C178" s="36">
        <v>1222027</v>
      </c>
      <c r="D178" s="5"/>
      <c r="E178" s="5"/>
      <c r="F178" s="5"/>
      <c r="G178" s="55"/>
      <c r="H178" s="55"/>
      <c r="I178" s="55"/>
      <c r="J178" s="54"/>
      <c r="K178" s="54"/>
      <c r="L178" s="54"/>
      <c r="M178" s="54"/>
      <c r="N178" s="57"/>
      <c r="O178" s="102">
        <f t="shared" si="31"/>
        <v>1222027</v>
      </c>
    </row>
    <row r="179" spans="1:15" ht="15">
      <c r="A179" s="103" t="s">
        <v>302</v>
      </c>
      <c r="B179" s="138" t="s">
        <v>120</v>
      </c>
      <c r="C179" s="36">
        <v>1164116</v>
      </c>
      <c r="D179" s="5"/>
      <c r="E179" s="5"/>
      <c r="F179" s="5"/>
      <c r="G179" s="55"/>
      <c r="H179" s="55"/>
      <c r="I179" s="55"/>
      <c r="J179" s="54"/>
      <c r="K179" s="54"/>
      <c r="L179" s="54"/>
      <c r="M179" s="54"/>
      <c r="N179" s="57"/>
      <c r="O179" s="102">
        <f t="shared" si="31"/>
        <v>1164116</v>
      </c>
    </row>
    <row r="180" spans="1:15" ht="15">
      <c r="A180" s="103" t="s">
        <v>303</v>
      </c>
      <c r="B180" s="35" t="s">
        <v>121</v>
      </c>
      <c r="C180" s="36">
        <v>433537</v>
      </c>
      <c r="D180" s="5"/>
      <c r="E180" s="5"/>
      <c r="F180" s="5"/>
      <c r="G180" s="55"/>
      <c r="H180" s="55"/>
      <c r="I180" s="55"/>
      <c r="J180" s="54"/>
      <c r="K180" s="54"/>
      <c r="L180" s="54"/>
      <c r="M180" s="54"/>
      <c r="N180" s="57"/>
      <c r="O180" s="102">
        <f t="shared" si="31"/>
        <v>433537</v>
      </c>
    </row>
    <row r="181" spans="1:15" ht="15">
      <c r="A181" s="103" t="s">
        <v>304</v>
      </c>
      <c r="B181" s="35" t="s">
        <v>181</v>
      </c>
      <c r="C181" s="36"/>
      <c r="D181" s="5"/>
      <c r="E181" s="5"/>
      <c r="F181" s="5"/>
      <c r="G181" s="55"/>
      <c r="H181" s="55"/>
      <c r="I181" s="41">
        <f>274888+1738</f>
        <v>276626</v>
      </c>
      <c r="J181" s="57"/>
      <c r="K181" s="57"/>
      <c r="L181" s="57"/>
      <c r="M181" s="57"/>
      <c r="N181" s="57"/>
      <c r="O181" s="102">
        <f t="shared" si="31"/>
        <v>276626</v>
      </c>
    </row>
    <row r="182" spans="1:15" ht="15">
      <c r="A182" s="103" t="s">
        <v>305</v>
      </c>
      <c r="B182" s="35" t="s">
        <v>182</v>
      </c>
      <c r="C182" s="36"/>
      <c r="D182" s="5"/>
      <c r="E182" s="5"/>
      <c r="F182" s="5"/>
      <c r="G182" s="55"/>
      <c r="H182" s="55"/>
      <c r="I182" s="41"/>
      <c r="J182" s="54">
        <f>681632</f>
        <v>681632</v>
      </c>
      <c r="K182" s="57"/>
      <c r="L182" s="57"/>
      <c r="M182" s="57"/>
      <c r="N182" s="57"/>
      <c r="O182" s="102">
        <f t="shared" si="31"/>
        <v>681632</v>
      </c>
    </row>
    <row r="183" spans="1:15" ht="15">
      <c r="A183" s="103" t="s">
        <v>306</v>
      </c>
      <c r="B183" s="35" t="s">
        <v>383</v>
      </c>
      <c r="C183" s="36"/>
      <c r="D183" s="5"/>
      <c r="E183" s="5"/>
      <c r="F183" s="5"/>
      <c r="G183" s="55"/>
      <c r="H183" s="55"/>
      <c r="I183" s="41"/>
      <c r="J183" s="57"/>
      <c r="K183" s="57"/>
      <c r="L183" s="57"/>
      <c r="M183" s="57">
        <v>9000</v>
      </c>
      <c r="N183" s="54">
        <f>547547+471</f>
        <v>548018</v>
      </c>
      <c r="O183" s="102">
        <f t="shared" si="31"/>
        <v>557018</v>
      </c>
    </row>
    <row r="184" spans="1:15" ht="15">
      <c r="A184" s="103" t="s">
        <v>307</v>
      </c>
      <c r="B184" s="35" t="s">
        <v>184</v>
      </c>
      <c r="C184" s="36"/>
      <c r="D184" s="5"/>
      <c r="E184" s="5"/>
      <c r="F184" s="5"/>
      <c r="G184" s="184">
        <v>1033645</v>
      </c>
      <c r="H184" s="55"/>
      <c r="I184" s="41"/>
      <c r="J184" s="57"/>
      <c r="K184" s="57"/>
      <c r="L184" s="57"/>
      <c r="M184" s="57"/>
      <c r="N184" s="57"/>
      <c r="O184" s="102">
        <f t="shared" si="31"/>
        <v>1033645</v>
      </c>
    </row>
    <row r="185" spans="1:15" ht="15">
      <c r="A185" s="103" t="s">
        <v>308</v>
      </c>
      <c r="B185" s="35" t="s">
        <v>185</v>
      </c>
      <c r="C185" s="36"/>
      <c r="D185" s="5"/>
      <c r="E185" s="5"/>
      <c r="F185" s="5"/>
      <c r="G185" s="41"/>
      <c r="H185" s="41"/>
      <c r="I185" s="41"/>
      <c r="J185" s="57"/>
      <c r="K185" s="57"/>
      <c r="L185" s="57"/>
      <c r="M185" s="57"/>
      <c r="N185" s="57"/>
      <c r="O185" s="102">
        <f t="shared" si="31"/>
        <v>0</v>
      </c>
    </row>
    <row r="186" spans="1:15" ht="15">
      <c r="A186" s="103" t="s">
        <v>309</v>
      </c>
      <c r="B186" s="35" t="s">
        <v>186</v>
      </c>
      <c r="C186" s="36"/>
      <c r="D186" s="36"/>
      <c r="E186" s="36"/>
      <c r="F186" s="36"/>
      <c r="G186" s="184">
        <f>534863-10000+229</f>
        <v>525092</v>
      </c>
      <c r="H186" s="41"/>
      <c r="I186" s="41"/>
      <c r="J186" s="57"/>
      <c r="K186" s="57"/>
      <c r="L186" s="57"/>
      <c r="M186" s="57"/>
      <c r="N186" s="57"/>
      <c r="O186" s="102">
        <f t="shared" si="31"/>
        <v>525092</v>
      </c>
    </row>
    <row r="187" spans="1:15" ht="29.25">
      <c r="A187" s="100" t="s">
        <v>122</v>
      </c>
      <c r="B187" s="66" t="s">
        <v>123</v>
      </c>
      <c r="C187" s="101">
        <f aca="true" t="shared" si="41" ref="C187:N187">SUM(C188:C193)</f>
        <v>2350129.697</v>
      </c>
      <c r="D187" s="101">
        <f t="shared" si="41"/>
        <v>0</v>
      </c>
      <c r="E187" s="101">
        <f t="shared" si="41"/>
        <v>0</v>
      </c>
      <c r="F187" s="101">
        <f t="shared" si="41"/>
        <v>0</v>
      </c>
      <c r="G187" s="8">
        <f t="shared" si="41"/>
        <v>0</v>
      </c>
      <c r="H187" s="101">
        <f t="shared" si="41"/>
        <v>0</v>
      </c>
      <c r="I187" s="101">
        <f t="shared" si="41"/>
        <v>0</v>
      </c>
      <c r="J187" s="101">
        <f>SUM(J188:J193)</f>
        <v>163990</v>
      </c>
      <c r="K187" s="101">
        <f t="shared" si="41"/>
        <v>0</v>
      </c>
      <c r="L187" s="101">
        <f t="shared" si="41"/>
        <v>0</v>
      </c>
      <c r="M187" s="101">
        <f t="shared" si="41"/>
        <v>0</v>
      </c>
      <c r="N187" s="101">
        <f t="shared" si="41"/>
        <v>0</v>
      </c>
      <c r="O187" s="102">
        <f t="shared" si="31"/>
        <v>2514119.697</v>
      </c>
    </row>
    <row r="188" spans="1:15" ht="15">
      <c r="A188" s="103" t="s">
        <v>310</v>
      </c>
      <c r="B188" s="35" t="s">
        <v>8</v>
      </c>
      <c r="C188" s="36">
        <v>529526</v>
      </c>
      <c r="D188" s="5"/>
      <c r="E188" s="5"/>
      <c r="F188" s="5"/>
      <c r="G188" s="55"/>
      <c r="H188" s="55"/>
      <c r="I188" s="55"/>
      <c r="J188" s="54"/>
      <c r="K188" s="54"/>
      <c r="L188" s="54"/>
      <c r="M188" s="54"/>
      <c r="N188" s="57"/>
      <c r="O188" s="102">
        <f t="shared" si="31"/>
        <v>529526</v>
      </c>
    </row>
    <row r="189" spans="1:15" ht="15">
      <c r="A189" s="103" t="s">
        <v>311</v>
      </c>
      <c r="B189" s="35" t="s">
        <v>137</v>
      </c>
      <c r="C189" s="36">
        <v>242496.2297</v>
      </c>
      <c r="D189" s="5"/>
      <c r="E189" s="5"/>
      <c r="F189" s="5"/>
      <c r="G189" s="55"/>
      <c r="H189" s="55"/>
      <c r="I189" s="55"/>
      <c r="J189" s="54"/>
      <c r="K189" s="54"/>
      <c r="L189" s="54"/>
      <c r="M189" s="54"/>
      <c r="N189" s="57"/>
      <c r="O189" s="102">
        <f t="shared" si="31"/>
        <v>242496.2297</v>
      </c>
    </row>
    <row r="190" spans="1:15" ht="15">
      <c r="A190" s="103" t="s">
        <v>312</v>
      </c>
      <c r="B190" s="35" t="s">
        <v>124</v>
      </c>
      <c r="C190" s="36">
        <v>942629.1348</v>
      </c>
      <c r="D190" s="5"/>
      <c r="E190" s="5"/>
      <c r="F190" s="5"/>
      <c r="G190" s="55"/>
      <c r="H190" s="55"/>
      <c r="I190" s="55"/>
      <c r="J190" s="54"/>
      <c r="K190" s="54"/>
      <c r="L190" s="54"/>
      <c r="M190" s="54"/>
      <c r="N190" s="57"/>
      <c r="O190" s="102">
        <f aca="true" t="shared" si="42" ref="O190:O221">SUM(C190:N190)</f>
        <v>942629.1348</v>
      </c>
    </row>
    <row r="191" spans="1:15" ht="15">
      <c r="A191" s="103" t="s">
        <v>313</v>
      </c>
      <c r="B191" s="35" t="s">
        <v>125</v>
      </c>
      <c r="C191" s="36">
        <v>505216.5899</v>
      </c>
      <c r="D191" s="5"/>
      <c r="E191" s="5"/>
      <c r="F191" s="5"/>
      <c r="G191" s="41"/>
      <c r="H191" s="55"/>
      <c r="I191" s="55"/>
      <c r="J191" s="54"/>
      <c r="K191" s="54"/>
      <c r="L191" s="54"/>
      <c r="M191" s="54"/>
      <c r="N191" s="57"/>
      <c r="O191" s="102">
        <f t="shared" si="42"/>
        <v>505216.5899</v>
      </c>
    </row>
    <row r="192" spans="1:15" ht="15">
      <c r="A192" s="103" t="s">
        <v>314</v>
      </c>
      <c r="B192" s="35" t="s">
        <v>126</v>
      </c>
      <c r="C192" s="5">
        <v>130261.7426</v>
      </c>
      <c r="D192" s="5"/>
      <c r="E192" s="5"/>
      <c r="F192" s="5"/>
      <c r="G192" s="55"/>
      <c r="H192" s="55"/>
      <c r="I192" s="55"/>
      <c r="J192" s="54"/>
      <c r="K192" s="54"/>
      <c r="L192" s="54"/>
      <c r="M192" s="54"/>
      <c r="N192" s="57"/>
      <c r="O192" s="102">
        <f t="shared" si="42"/>
        <v>130261.7426</v>
      </c>
    </row>
    <row r="193" spans="1:15" ht="15">
      <c r="A193" s="103" t="s">
        <v>315</v>
      </c>
      <c r="B193" s="35" t="s">
        <v>187</v>
      </c>
      <c r="C193" s="5"/>
      <c r="D193" s="5"/>
      <c r="E193" s="5"/>
      <c r="F193" s="5"/>
      <c r="G193" s="55"/>
      <c r="H193" s="55"/>
      <c r="I193" s="55"/>
      <c r="J193" s="54">
        <v>163990</v>
      </c>
      <c r="K193" s="54"/>
      <c r="L193" s="54"/>
      <c r="M193" s="54"/>
      <c r="N193" s="57"/>
      <c r="O193" s="102">
        <f t="shared" si="42"/>
        <v>163990</v>
      </c>
    </row>
    <row r="194" spans="1:15" s="16" customFormat="1" ht="28.5">
      <c r="A194" s="100" t="s">
        <v>188</v>
      </c>
      <c r="B194" s="105" t="s">
        <v>189</v>
      </c>
      <c r="C194" s="8">
        <f aca="true" t="shared" si="43" ref="C194:N194">SUM(C195:C195)</f>
        <v>0</v>
      </c>
      <c r="D194" s="8">
        <f t="shared" si="43"/>
        <v>0</v>
      </c>
      <c r="E194" s="8">
        <f t="shared" si="43"/>
        <v>0</v>
      </c>
      <c r="F194" s="8">
        <f t="shared" si="43"/>
        <v>0</v>
      </c>
      <c r="G194" s="8">
        <f t="shared" si="43"/>
        <v>0</v>
      </c>
      <c r="H194" s="8">
        <f t="shared" si="43"/>
        <v>0</v>
      </c>
      <c r="I194" s="8">
        <f t="shared" si="43"/>
        <v>0</v>
      </c>
      <c r="J194" s="8">
        <f t="shared" si="43"/>
        <v>0</v>
      </c>
      <c r="K194" s="8">
        <f t="shared" si="43"/>
        <v>0</v>
      </c>
      <c r="L194" s="8">
        <f t="shared" si="43"/>
        <v>0</v>
      </c>
      <c r="M194" s="8">
        <f t="shared" si="43"/>
        <v>0</v>
      </c>
      <c r="N194" s="8">
        <f t="shared" si="43"/>
        <v>0</v>
      </c>
      <c r="O194" s="102">
        <f t="shared" si="42"/>
        <v>0</v>
      </c>
    </row>
    <row r="195" spans="1:15" ht="26.25">
      <c r="A195" s="103" t="s">
        <v>316</v>
      </c>
      <c r="B195" s="141" t="s">
        <v>190</v>
      </c>
      <c r="C195" s="5"/>
      <c r="D195" s="5"/>
      <c r="E195" s="5"/>
      <c r="F195" s="5"/>
      <c r="G195" s="55"/>
      <c r="H195" s="55"/>
      <c r="I195" s="55"/>
      <c r="J195" s="54"/>
      <c r="K195" s="54"/>
      <c r="L195" s="54"/>
      <c r="M195" s="54"/>
      <c r="N195" s="57"/>
      <c r="O195" s="102">
        <f t="shared" si="42"/>
        <v>0</v>
      </c>
    </row>
    <row r="196" spans="1:15" ht="15">
      <c r="A196" s="142" t="s">
        <v>191</v>
      </c>
      <c r="B196" s="66" t="s">
        <v>192</v>
      </c>
      <c r="C196" s="5">
        <v>165000</v>
      </c>
      <c r="D196" s="5"/>
      <c r="E196" s="5"/>
      <c r="F196" s="5"/>
      <c r="G196" s="55"/>
      <c r="H196" s="55"/>
      <c r="I196" s="55"/>
      <c r="J196" s="143">
        <f>106049+507</f>
        <v>106556</v>
      </c>
      <c r="K196" s="54"/>
      <c r="L196" s="54"/>
      <c r="M196" s="54"/>
      <c r="N196" s="57"/>
      <c r="O196" s="102">
        <f t="shared" si="42"/>
        <v>271556</v>
      </c>
    </row>
    <row r="197" spans="1:15" ht="29.25">
      <c r="A197" s="100" t="s">
        <v>193</v>
      </c>
      <c r="B197" s="66" t="s">
        <v>317</v>
      </c>
      <c r="C197" s="101">
        <v>248108</v>
      </c>
      <c r="D197" s="101"/>
      <c r="E197" s="101"/>
      <c r="F197" s="101"/>
      <c r="G197" s="144"/>
      <c r="H197" s="144"/>
      <c r="I197" s="144"/>
      <c r="J197" s="145"/>
      <c r="K197" s="145"/>
      <c r="L197" s="145"/>
      <c r="M197" s="145"/>
      <c r="N197" s="145"/>
      <c r="O197" s="102">
        <f t="shared" si="42"/>
        <v>248108</v>
      </c>
    </row>
    <row r="198" spans="1:15" ht="30.75" customHeight="1" thickBot="1">
      <c r="A198" s="146" t="s">
        <v>127</v>
      </c>
      <c r="B198" s="147" t="s">
        <v>318</v>
      </c>
      <c r="C198" s="148">
        <f>SUM(C199:C217)</f>
        <v>81674</v>
      </c>
      <c r="D198" s="148">
        <f aca="true" t="shared" si="44" ref="D198:N198">SUM(D199:D217)</f>
        <v>0</v>
      </c>
      <c r="E198" s="148">
        <f t="shared" si="44"/>
        <v>0</v>
      </c>
      <c r="F198" s="148">
        <f t="shared" si="44"/>
        <v>0</v>
      </c>
      <c r="G198" s="148">
        <f t="shared" si="44"/>
        <v>17227</v>
      </c>
      <c r="H198" s="148">
        <f t="shared" si="44"/>
        <v>0</v>
      </c>
      <c r="I198" s="148">
        <f t="shared" si="44"/>
        <v>19228</v>
      </c>
      <c r="J198" s="148">
        <f t="shared" si="44"/>
        <v>10769</v>
      </c>
      <c r="K198" s="148">
        <f t="shared" si="44"/>
        <v>18915</v>
      </c>
      <c r="L198" s="148">
        <f t="shared" si="44"/>
        <v>16139</v>
      </c>
      <c r="M198" s="148">
        <f t="shared" si="44"/>
        <v>12960</v>
      </c>
      <c r="N198" s="148">
        <f t="shared" si="44"/>
        <v>20719</v>
      </c>
      <c r="O198" s="197">
        <f>SUM(C198:N198)</f>
        <v>197631</v>
      </c>
    </row>
    <row r="199" spans="1:15" ht="30">
      <c r="A199" s="149" t="s">
        <v>319</v>
      </c>
      <c r="B199" s="31" t="s">
        <v>362</v>
      </c>
      <c r="C199" s="50">
        <f>8419-696</f>
        <v>7723</v>
      </c>
      <c r="D199" s="32"/>
      <c r="E199" s="32"/>
      <c r="F199" s="32"/>
      <c r="G199" s="53"/>
      <c r="H199" s="64"/>
      <c r="I199" s="64"/>
      <c r="J199" s="53"/>
      <c r="K199" s="53"/>
      <c r="L199" s="53"/>
      <c r="M199" s="53"/>
      <c r="N199" s="78"/>
      <c r="O199" s="48">
        <f t="shared" si="42"/>
        <v>7723</v>
      </c>
    </row>
    <row r="200" spans="1:15" ht="30">
      <c r="A200" s="149" t="s">
        <v>384</v>
      </c>
      <c r="B200" s="35" t="s">
        <v>385</v>
      </c>
      <c r="C200" s="36"/>
      <c r="D200" s="5"/>
      <c r="E200" s="5"/>
      <c r="F200" s="5"/>
      <c r="G200" s="55"/>
      <c r="H200" s="55"/>
      <c r="I200" s="55"/>
      <c r="J200" s="54"/>
      <c r="K200" s="54"/>
      <c r="L200" s="54"/>
      <c r="M200" s="54"/>
      <c r="N200" s="57"/>
      <c r="O200" s="102">
        <f t="shared" si="42"/>
        <v>0</v>
      </c>
    </row>
    <row r="201" spans="1:15" ht="15">
      <c r="A201" s="149" t="s">
        <v>320</v>
      </c>
      <c r="B201" s="222" t="s">
        <v>217</v>
      </c>
      <c r="C201" s="36"/>
      <c r="D201" s="5"/>
      <c r="E201" s="5"/>
      <c r="F201" s="5"/>
      <c r="G201" s="55"/>
      <c r="H201" s="55"/>
      <c r="I201" s="55"/>
      <c r="J201" s="54"/>
      <c r="K201" s="54">
        <v>18915</v>
      </c>
      <c r="L201" s="54">
        <v>16139</v>
      </c>
      <c r="M201" s="54"/>
      <c r="N201" s="57"/>
      <c r="O201" s="102">
        <f t="shared" si="42"/>
        <v>35054</v>
      </c>
    </row>
    <row r="202" spans="1:15" ht="15">
      <c r="A202" s="149" t="s">
        <v>321</v>
      </c>
      <c r="B202" s="223" t="s">
        <v>218</v>
      </c>
      <c r="C202" s="36"/>
      <c r="D202" s="5"/>
      <c r="E202" s="5"/>
      <c r="F202" s="5"/>
      <c r="G202" s="41">
        <v>17227</v>
      </c>
      <c r="H202" s="55"/>
      <c r="I202" s="41">
        <v>19228</v>
      </c>
      <c r="J202" s="54">
        <v>10769</v>
      </c>
      <c r="K202" s="54"/>
      <c r="L202" s="54"/>
      <c r="M202" s="54">
        <v>12960</v>
      </c>
      <c r="N202" s="57">
        <v>20719</v>
      </c>
      <c r="O202" s="102">
        <f t="shared" si="42"/>
        <v>80903</v>
      </c>
    </row>
    <row r="203" spans="1:15" ht="30">
      <c r="A203" s="149" t="s">
        <v>322</v>
      </c>
      <c r="B203" s="133" t="s">
        <v>386</v>
      </c>
      <c r="C203" s="36"/>
      <c r="D203" s="5"/>
      <c r="E203" s="5"/>
      <c r="F203" s="5"/>
      <c r="G203" s="55"/>
      <c r="H203" s="55"/>
      <c r="I203" s="55"/>
      <c r="J203" s="54"/>
      <c r="K203" s="54"/>
      <c r="L203" s="54"/>
      <c r="M203" s="54"/>
      <c r="N203" s="57"/>
      <c r="O203" s="102">
        <f t="shared" si="42"/>
        <v>0</v>
      </c>
    </row>
    <row r="204" spans="1:15" ht="45">
      <c r="A204" s="150" t="s">
        <v>323</v>
      </c>
      <c r="B204" s="35" t="s">
        <v>448</v>
      </c>
      <c r="C204" s="36"/>
      <c r="D204" s="5"/>
      <c r="E204" s="5"/>
      <c r="F204" s="5"/>
      <c r="G204" s="55"/>
      <c r="H204" s="55"/>
      <c r="I204" s="55"/>
      <c r="J204" s="54"/>
      <c r="K204" s="54"/>
      <c r="L204" s="54"/>
      <c r="M204" s="54"/>
      <c r="N204" s="57"/>
      <c r="O204" s="102">
        <f t="shared" si="42"/>
        <v>0</v>
      </c>
    </row>
    <row r="205" spans="1:15" ht="30">
      <c r="A205" s="149" t="s">
        <v>357</v>
      </c>
      <c r="B205" s="35" t="s">
        <v>363</v>
      </c>
      <c r="C205" s="36">
        <v>6737</v>
      </c>
      <c r="D205" s="5"/>
      <c r="E205" s="5"/>
      <c r="F205" s="5"/>
      <c r="G205" s="55"/>
      <c r="H205" s="55"/>
      <c r="I205" s="55"/>
      <c r="J205" s="54"/>
      <c r="K205" s="54"/>
      <c r="L205" s="54"/>
      <c r="M205" s="54"/>
      <c r="N205" s="57"/>
      <c r="O205" s="102">
        <f t="shared" si="42"/>
        <v>6737</v>
      </c>
    </row>
    <row r="206" spans="1:15" ht="30">
      <c r="A206" s="149" t="s">
        <v>359</v>
      </c>
      <c r="B206" s="130" t="s">
        <v>358</v>
      </c>
      <c r="C206" s="36">
        <v>6000</v>
      </c>
      <c r="D206" s="5"/>
      <c r="E206" s="5"/>
      <c r="F206" s="5"/>
      <c r="G206" s="55"/>
      <c r="H206" s="55"/>
      <c r="I206" s="55"/>
      <c r="J206" s="54"/>
      <c r="K206" s="54"/>
      <c r="L206" s="54"/>
      <c r="M206" s="54"/>
      <c r="N206" s="57"/>
      <c r="O206" s="102">
        <f t="shared" si="42"/>
        <v>6000</v>
      </c>
    </row>
    <row r="207" spans="1:15" ht="45">
      <c r="A207" s="150" t="s">
        <v>361</v>
      </c>
      <c r="B207" s="35" t="s">
        <v>360</v>
      </c>
      <c r="C207" s="36"/>
      <c r="D207" s="5"/>
      <c r="E207" s="5"/>
      <c r="F207" s="5"/>
      <c r="G207" s="55"/>
      <c r="H207" s="55"/>
      <c r="I207" s="55"/>
      <c r="J207" s="54"/>
      <c r="K207" s="54"/>
      <c r="L207" s="54"/>
      <c r="M207" s="54"/>
      <c r="N207" s="57"/>
      <c r="O207" s="102">
        <f t="shared" si="42"/>
        <v>0</v>
      </c>
    </row>
    <row r="208" spans="1:15" ht="15">
      <c r="A208" s="177" t="s">
        <v>387</v>
      </c>
      <c r="B208" s="70" t="s">
        <v>388</v>
      </c>
      <c r="C208" s="36"/>
      <c r="D208" s="5"/>
      <c r="E208" s="5"/>
      <c r="F208" s="5"/>
      <c r="G208" s="41"/>
      <c r="H208" s="55"/>
      <c r="I208" s="55"/>
      <c r="J208" s="54"/>
      <c r="K208" s="54"/>
      <c r="L208" s="54"/>
      <c r="M208" s="54"/>
      <c r="N208" s="57"/>
      <c r="O208" s="102">
        <f t="shared" si="42"/>
        <v>0</v>
      </c>
    </row>
    <row r="209" spans="1:15" ht="60">
      <c r="A209" s="150" t="s">
        <v>393</v>
      </c>
      <c r="B209" s="126" t="s">
        <v>394</v>
      </c>
      <c r="C209" s="36"/>
      <c r="D209" s="36"/>
      <c r="E209" s="36"/>
      <c r="F209" s="36"/>
      <c r="G209" s="55"/>
      <c r="H209" s="55"/>
      <c r="I209" s="55"/>
      <c r="J209" s="54"/>
      <c r="K209" s="54"/>
      <c r="L209" s="54"/>
      <c r="M209" s="54"/>
      <c r="N209" s="57"/>
      <c r="O209" s="102">
        <f t="shared" si="42"/>
        <v>0</v>
      </c>
    </row>
    <row r="210" spans="1:15" ht="60">
      <c r="A210" s="149" t="s">
        <v>396</v>
      </c>
      <c r="B210" s="126" t="s">
        <v>395</v>
      </c>
      <c r="C210" s="36"/>
      <c r="D210" s="36"/>
      <c r="E210" s="36"/>
      <c r="F210" s="36"/>
      <c r="G210" s="55"/>
      <c r="H210" s="46"/>
      <c r="I210" s="46"/>
      <c r="J210" s="47"/>
      <c r="K210" s="47"/>
      <c r="L210" s="47"/>
      <c r="M210" s="47"/>
      <c r="N210" s="185"/>
      <c r="O210" s="102">
        <f t="shared" si="42"/>
        <v>0</v>
      </c>
    </row>
    <row r="211" spans="1:15" ht="45">
      <c r="A211" s="149" t="s">
        <v>398</v>
      </c>
      <c r="B211" s="126" t="s">
        <v>397</v>
      </c>
      <c r="C211" s="36">
        <f>1968+3647</f>
        <v>5615</v>
      </c>
      <c r="D211" s="36"/>
      <c r="E211" s="36"/>
      <c r="F211" s="36"/>
      <c r="G211" s="55"/>
      <c r="H211" s="55"/>
      <c r="I211" s="55"/>
      <c r="J211" s="54"/>
      <c r="K211" s="54"/>
      <c r="L211" s="54"/>
      <c r="M211" s="54"/>
      <c r="N211" s="135"/>
      <c r="O211" s="102">
        <f t="shared" si="42"/>
        <v>5615</v>
      </c>
    </row>
    <row r="212" spans="1:15" ht="45">
      <c r="A212" s="213" t="s">
        <v>449</v>
      </c>
      <c r="B212" s="126" t="s">
        <v>450</v>
      </c>
      <c r="C212" s="5">
        <v>15940</v>
      </c>
      <c r="D212" s="5"/>
      <c r="E212" s="5"/>
      <c r="F212" s="5"/>
      <c r="G212" s="55"/>
      <c r="H212" s="55"/>
      <c r="I212" s="55"/>
      <c r="J212" s="54"/>
      <c r="K212" s="54"/>
      <c r="L212" s="54"/>
      <c r="M212" s="54"/>
      <c r="N212" s="54"/>
      <c r="O212" s="212">
        <f aca="true" t="shared" si="45" ref="O212:O217">SUM(C212:N212)</f>
        <v>15940</v>
      </c>
    </row>
    <row r="213" spans="1:15" ht="45">
      <c r="A213" s="213" t="s">
        <v>463</v>
      </c>
      <c r="B213" s="214" t="s">
        <v>459</v>
      </c>
      <c r="C213" s="5">
        <f>4000-600</f>
        <v>3400</v>
      </c>
      <c r="D213" s="5"/>
      <c r="E213" s="5"/>
      <c r="F213" s="5"/>
      <c r="G213" s="55"/>
      <c r="H213" s="55"/>
      <c r="I213" s="55"/>
      <c r="J213" s="54"/>
      <c r="K213" s="54"/>
      <c r="L213" s="54"/>
      <c r="M213" s="54"/>
      <c r="N213" s="54"/>
      <c r="O213" s="212">
        <f t="shared" si="45"/>
        <v>3400</v>
      </c>
    </row>
    <row r="214" spans="1:15" ht="30">
      <c r="A214" s="213" t="s">
        <v>464</v>
      </c>
      <c r="B214" s="214" t="s">
        <v>467</v>
      </c>
      <c r="C214" s="72">
        <v>6310</v>
      </c>
      <c r="D214" s="72"/>
      <c r="E214" s="72"/>
      <c r="F214" s="72"/>
      <c r="G214" s="120"/>
      <c r="H214" s="176"/>
      <c r="I214" s="176"/>
      <c r="J214" s="134"/>
      <c r="K214" s="134"/>
      <c r="L214" s="134"/>
      <c r="M214" s="134"/>
      <c r="N214" s="54"/>
      <c r="O214" s="216">
        <f t="shared" si="45"/>
        <v>6310</v>
      </c>
    </row>
    <row r="215" spans="1:15" ht="30">
      <c r="A215" s="213" t="s">
        <v>475</v>
      </c>
      <c r="B215" s="214" t="s">
        <v>472</v>
      </c>
      <c r="C215" s="5">
        <v>23339</v>
      </c>
      <c r="D215" s="5"/>
      <c r="E215" s="5"/>
      <c r="F215" s="5"/>
      <c r="G215" s="55"/>
      <c r="H215" s="55"/>
      <c r="I215" s="55"/>
      <c r="J215" s="54"/>
      <c r="K215" s="54"/>
      <c r="L215" s="54"/>
      <c r="M215" s="54"/>
      <c r="N215" s="54"/>
      <c r="O215" s="216">
        <f t="shared" si="45"/>
        <v>23339</v>
      </c>
    </row>
    <row r="216" spans="1:15" ht="45">
      <c r="A216" s="213" t="s">
        <v>476</v>
      </c>
      <c r="B216" s="214" t="s">
        <v>473</v>
      </c>
      <c r="C216" s="5">
        <v>5100</v>
      </c>
      <c r="D216" s="5"/>
      <c r="E216" s="5"/>
      <c r="F216" s="5"/>
      <c r="G216" s="55"/>
      <c r="H216" s="55"/>
      <c r="I216" s="55"/>
      <c r="J216" s="54"/>
      <c r="K216" s="54"/>
      <c r="L216" s="54"/>
      <c r="M216" s="54"/>
      <c r="N216" s="54"/>
      <c r="O216" s="216">
        <f t="shared" si="45"/>
        <v>5100</v>
      </c>
    </row>
    <row r="217" spans="1:15" ht="45.75" thickBot="1">
      <c r="A217" s="177" t="s">
        <v>477</v>
      </c>
      <c r="B217" s="214" t="s">
        <v>474</v>
      </c>
      <c r="C217" s="72">
        <v>1510</v>
      </c>
      <c r="D217" s="72"/>
      <c r="E217" s="72"/>
      <c r="F217" s="72"/>
      <c r="G217" s="120"/>
      <c r="H217" s="176"/>
      <c r="I217" s="176"/>
      <c r="J217" s="134"/>
      <c r="K217" s="134"/>
      <c r="L217" s="134"/>
      <c r="M217" s="134"/>
      <c r="N217" s="217"/>
      <c r="O217" s="216">
        <f t="shared" si="45"/>
        <v>1510</v>
      </c>
    </row>
    <row r="218" spans="1:15" ht="15.75" thickBot="1">
      <c r="A218" s="115" t="s">
        <v>7</v>
      </c>
      <c r="B218" s="26" t="s">
        <v>128</v>
      </c>
      <c r="C218" s="49">
        <f>SUM(C219+C220+C221+C222)</f>
        <v>2120272</v>
      </c>
      <c r="D218" s="49">
        <f aca="true" t="shared" si="46" ref="D218:M218">SUM(D219+D220+D221+D222)</f>
        <v>25918</v>
      </c>
      <c r="E218" s="49">
        <f t="shared" si="46"/>
        <v>0</v>
      </c>
      <c r="F218" s="49">
        <f t="shared" si="46"/>
        <v>0</v>
      </c>
      <c r="G218" s="27">
        <f t="shared" si="46"/>
        <v>61718</v>
      </c>
      <c r="H218" s="49">
        <f t="shared" si="46"/>
        <v>313552</v>
      </c>
      <c r="I218" s="49">
        <f t="shared" si="46"/>
        <v>56484</v>
      </c>
      <c r="J218" s="49">
        <f t="shared" si="46"/>
        <v>659066</v>
      </c>
      <c r="K218" s="49">
        <f t="shared" si="46"/>
        <v>20419</v>
      </c>
      <c r="L218" s="49">
        <f t="shared" si="46"/>
        <v>21220</v>
      </c>
      <c r="M218" s="49">
        <f t="shared" si="46"/>
        <v>23750</v>
      </c>
      <c r="N218" s="49">
        <f>SUM(N219+N220+N221+N222)</f>
        <v>49213</v>
      </c>
      <c r="O218" s="28">
        <f t="shared" si="42"/>
        <v>3351612</v>
      </c>
    </row>
    <row r="219" spans="1:15" ht="29.25">
      <c r="A219" s="100" t="s">
        <v>219</v>
      </c>
      <c r="B219" s="151" t="s">
        <v>220</v>
      </c>
      <c r="C219" s="98">
        <v>85912</v>
      </c>
      <c r="D219" s="152"/>
      <c r="E219" s="152"/>
      <c r="F219" s="152"/>
      <c r="G219" s="154"/>
      <c r="H219" s="153"/>
      <c r="I219" s="154">
        <v>60</v>
      </c>
      <c r="J219" s="155">
        <v>88223</v>
      </c>
      <c r="K219" s="155"/>
      <c r="L219" s="155"/>
      <c r="M219" s="155"/>
      <c r="N219" s="198"/>
      <c r="O219" s="116">
        <f t="shared" si="42"/>
        <v>174195</v>
      </c>
    </row>
    <row r="220" spans="1:15" ht="15">
      <c r="A220" s="94" t="s">
        <v>194</v>
      </c>
      <c r="B220" s="95" t="s">
        <v>195</v>
      </c>
      <c r="C220" s="96">
        <v>19332</v>
      </c>
      <c r="D220" s="96"/>
      <c r="E220" s="96"/>
      <c r="F220" s="96"/>
      <c r="G220" s="51"/>
      <c r="H220" s="51"/>
      <c r="I220" s="51">
        <v>675</v>
      </c>
      <c r="J220" s="51">
        <v>675</v>
      </c>
      <c r="K220" s="8">
        <v>675</v>
      </c>
      <c r="L220" s="199"/>
      <c r="M220" s="96"/>
      <c r="N220" s="96"/>
      <c r="O220" s="48">
        <f t="shared" si="42"/>
        <v>21357</v>
      </c>
    </row>
    <row r="221" spans="1:15" ht="15">
      <c r="A221" s="94" t="s">
        <v>129</v>
      </c>
      <c r="B221" s="95" t="s">
        <v>130</v>
      </c>
      <c r="C221" s="96">
        <v>34001</v>
      </c>
      <c r="D221" s="32"/>
      <c r="E221" s="32"/>
      <c r="F221" s="32"/>
      <c r="G221" s="64"/>
      <c r="H221" s="64"/>
      <c r="I221" s="64"/>
      <c r="J221" s="53"/>
      <c r="K221" s="53"/>
      <c r="L221" s="53"/>
      <c r="M221" s="53"/>
      <c r="N221" s="78"/>
      <c r="O221" s="102">
        <f t="shared" si="42"/>
        <v>34001</v>
      </c>
    </row>
    <row r="222" spans="1:15" ht="29.25">
      <c r="A222" s="100" t="s">
        <v>131</v>
      </c>
      <c r="B222" s="66" t="s">
        <v>132</v>
      </c>
      <c r="C222" s="101">
        <f aca="true" t="shared" si="47" ref="C222:N222">SUM(C223:C236)</f>
        <v>1981027</v>
      </c>
      <c r="D222" s="101">
        <v>25918</v>
      </c>
      <c r="E222" s="101">
        <f t="shared" si="47"/>
        <v>0</v>
      </c>
      <c r="F222" s="101">
        <f t="shared" si="47"/>
        <v>0</v>
      </c>
      <c r="G222" s="8">
        <f t="shared" si="47"/>
        <v>61718</v>
      </c>
      <c r="H222" s="101">
        <f t="shared" si="47"/>
        <v>313552</v>
      </c>
      <c r="I222" s="101">
        <f t="shared" si="47"/>
        <v>55749</v>
      </c>
      <c r="J222" s="101">
        <f t="shared" si="47"/>
        <v>570168</v>
      </c>
      <c r="K222" s="101">
        <f t="shared" si="47"/>
        <v>19744</v>
      </c>
      <c r="L222" s="101">
        <f t="shared" si="47"/>
        <v>21220</v>
      </c>
      <c r="M222" s="101">
        <f t="shared" si="47"/>
        <v>23750</v>
      </c>
      <c r="N222" s="101">
        <f t="shared" si="47"/>
        <v>49213</v>
      </c>
      <c r="O222" s="102">
        <f>SUM(C222:N222)</f>
        <v>3122059</v>
      </c>
    </row>
    <row r="223" spans="1:15" ht="15">
      <c r="A223" s="103" t="s">
        <v>324</v>
      </c>
      <c r="B223" s="35" t="s">
        <v>133</v>
      </c>
      <c r="C223" s="36">
        <f>1022733+765-83</f>
        <v>1023415</v>
      </c>
      <c r="D223" s="5"/>
      <c r="E223" s="5"/>
      <c r="F223" s="5"/>
      <c r="G223" s="41">
        <v>3118</v>
      </c>
      <c r="H223" s="41">
        <v>6806</v>
      </c>
      <c r="I223" s="41">
        <v>738</v>
      </c>
      <c r="J223" s="54">
        <v>3360</v>
      </c>
      <c r="K223" s="54">
        <v>1080</v>
      </c>
      <c r="L223" s="54">
        <v>920</v>
      </c>
      <c r="M223" s="54">
        <v>2550</v>
      </c>
      <c r="N223" s="57">
        <v>2790</v>
      </c>
      <c r="O223" s="102">
        <f aca="true" t="shared" si="48" ref="O223:O238">SUM(C223:N223)</f>
        <v>1044777</v>
      </c>
    </row>
    <row r="224" spans="1:15" ht="15">
      <c r="A224" s="103" t="s">
        <v>325</v>
      </c>
      <c r="B224" s="35" t="s">
        <v>19</v>
      </c>
      <c r="C224" s="36">
        <f>924461+9641</f>
        <v>934102</v>
      </c>
      <c r="D224" s="5"/>
      <c r="E224" s="5"/>
      <c r="F224" s="5"/>
      <c r="G224" s="41">
        <v>58600</v>
      </c>
      <c r="H224" s="41">
        <v>38980</v>
      </c>
      <c r="I224" s="41">
        <v>54461</v>
      </c>
      <c r="J224" s="54">
        <v>57101</v>
      </c>
      <c r="K224" s="54">
        <v>18664</v>
      </c>
      <c r="L224" s="54">
        <v>20300</v>
      </c>
      <c r="M224" s="54">
        <v>21200</v>
      </c>
      <c r="N224" s="57">
        <v>46423</v>
      </c>
      <c r="O224" s="102">
        <f t="shared" si="48"/>
        <v>1249831</v>
      </c>
    </row>
    <row r="225" spans="1:15" ht="15">
      <c r="A225" s="103" t="s">
        <v>326</v>
      </c>
      <c r="B225" s="70" t="s">
        <v>451</v>
      </c>
      <c r="C225" s="36"/>
      <c r="D225" s="5"/>
      <c r="E225" s="5"/>
      <c r="F225" s="5"/>
      <c r="G225" s="41"/>
      <c r="H225" s="41"/>
      <c r="I225" s="41"/>
      <c r="J225" s="54"/>
      <c r="K225" s="54"/>
      <c r="L225" s="54"/>
      <c r="M225" s="54"/>
      <c r="N225" s="57"/>
      <c r="O225" s="102">
        <f t="shared" si="48"/>
        <v>0</v>
      </c>
    </row>
    <row r="226" spans="1:15" ht="15">
      <c r="A226" s="103" t="s">
        <v>327</v>
      </c>
      <c r="B226" s="35" t="s">
        <v>197</v>
      </c>
      <c r="C226" s="36"/>
      <c r="D226" s="5"/>
      <c r="E226" s="5"/>
      <c r="F226" s="5"/>
      <c r="G226" s="41"/>
      <c r="H226" s="41">
        <v>267766</v>
      </c>
      <c r="I226" s="41"/>
      <c r="J226" s="54"/>
      <c r="K226" s="54"/>
      <c r="L226" s="54"/>
      <c r="M226" s="54"/>
      <c r="N226" s="57"/>
      <c r="O226" s="102">
        <f t="shared" si="48"/>
        <v>267766</v>
      </c>
    </row>
    <row r="227" spans="1:15" ht="15">
      <c r="A227" s="103" t="s">
        <v>328</v>
      </c>
      <c r="B227" s="35" t="s">
        <v>198</v>
      </c>
      <c r="C227" s="36"/>
      <c r="D227" s="5"/>
      <c r="E227" s="5"/>
      <c r="F227" s="5"/>
      <c r="G227" s="41"/>
      <c r="H227" s="41"/>
      <c r="I227" s="41"/>
      <c r="J227" s="54">
        <v>506163</v>
      </c>
      <c r="K227" s="54"/>
      <c r="L227" s="54"/>
      <c r="M227" s="54"/>
      <c r="N227" s="57"/>
      <c r="O227" s="102">
        <f t="shared" si="48"/>
        <v>506163</v>
      </c>
    </row>
    <row r="228" spans="1:15" ht="15">
      <c r="A228" s="103" t="s">
        <v>329</v>
      </c>
      <c r="B228" s="35" t="s">
        <v>389</v>
      </c>
      <c r="C228" s="5">
        <v>1300</v>
      </c>
      <c r="D228" s="5"/>
      <c r="E228" s="5"/>
      <c r="F228" s="5"/>
      <c r="G228" s="55"/>
      <c r="H228" s="55"/>
      <c r="I228" s="55"/>
      <c r="J228" s="54"/>
      <c r="K228" s="54"/>
      <c r="L228" s="54"/>
      <c r="M228" s="54"/>
      <c r="N228" s="57"/>
      <c r="O228" s="102">
        <f t="shared" si="48"/>
        <v>1300</v>
      </c>
    </row>
    <row r="229" spans="1:15" ht="15">
      <c r="A229" s="103" t="s">
        <v>330</v>
      </c>
      <c r="B229" s="35" t="s">
        <v>134</v>
      </c>
      <c r="C229" s="36">
        <v>5000</v>
      </c>
      <c r="D229" s="5"/>
      <c r="E229" s="5"/>
      <c r="F229" s="5"/>
      <c r="G229" s="55"/>
      <c r="H229" s="55"/>
      <c r="I229" s="55"/>
      <c r="J229" s="54"/>
      <c r="K229" s="54"/>
      <c r="L229" s="54"/>
      <c r="M229" s="54"/>
      <c r="N229" s="57"/>
      <c r="O229" s="102">
        <f t="shared" si="48"/>
        <v>5000</v>
      </c>
    </row>
    <row r="230" spans="1:15" ht="15">
      <c r="A230" s="103" t="s">
        <v>331</v>
      </c>
      <c r="B230" s="35" t="s">
        <v>135</v>
      </c>
      <c r="C230" s="36">
        <v>570</v>
      </c>
      <c r="D230" s="5"/>
      <c r="E230" s="5"/>
      <c r="F230" s="5"/>
      <c r="G230" s="55"/>
      <c r="H230" s="55"/>
      <c r="I230" s="55"/>
      <c r="J230" s="54"/>
      <c r="K230" s="54"/>
      <c r="L230" s="54"/>
      <c r="M230" s="54"/>
      <c r="N230" s="57"/>
      <c r="O230" s="102">
        <f t="shared" si="48"/>
        <v>570</v>
      </c>
    </row>
    <row r="231" spans="1:15" ht="15">
      <c r="A231" s="103" t="s">
        <v>332</v>
      </c>
      <c r="B231" s="35" t="s">
        <v>136</v>
      </c>
      <c r="C231" s="36">
        <v>13750</v>
      </c>
      <c r="D231" s="5"/>
      <c r="E231" s="5"/>
      <c r="F231" s="5"/>
      <c r="G231" s="55"/>
      <c r="H231" s="55"/>
      <c r="I231" s="55"/>
      <c r="J231" s="54"/>
      <c r="K231" s="54"/>
      <c r="L231" s="54"/>
      <c r="M231" s="54"/>
      <c r="N231" s="57"/>
      <c r="O231" s="102">
        <f t="shared" si="48"/>
        <v>13750</v>
      </c>
    </row>
    <row r="232" spans="1:15" ht="15">
      <c r="A232" s="103" t="s">
        <v>333</v>
      </c>
      <c r="B232" s="35" t="s">
        <v>196</v>
      </c>
      <c r="C232" s="200"/>
      <c r="D232" s="5"/>
      <c r="E232" s="5"/>
      <c r="F232" s="5"/>
      <c r="G232" s="55"/>
      <c r="H232" s="41"/>
      <c r="I232" s="41">
        <v>550</v>
      </c>
      <c r="J232" s="57">
        <v>3544</v>
      </c>
      <c r="K232" s="57"/>
      <c r="L232" s="57"/>
      <c r="M232" s="57"/>
      <c r="N232" s="57"/>
      <c r="O232" s="102">
        <f t="shared" si="48"/>
        <v>4094</v>
      </c>
    </row>
    <row r="233" spans="1:15" ht="15">
      <c r="A233" s="103" t="s">
        <v>334</v>
      </c>
      <c r="B233" s="35" t="s">
        <v>199</v>
      </c>
      <c r="C233" s="36">
        <v>400</v>
      </c>
      <c r="D233" s="36"/>
      <c r="E233" s="36"/>
      <c r="F233" s="36"/>
      <c r="G233" s="55"/>
      <c r="H233" s="55"/>
      <c r="I233" s="55"/>
      <c r="J233" s="54"/>
      <c r="K233" s="54"/>
      <c r="L233" s="54"/>
      <c r="M233" s="54"/>
      <c r="N233" s="57"/>
      <c r="O233" s="102">
        <f t="shared" si="48"/>
        <v>400</v>
      </c>
    </row>
    <row r="234" spans="1:15" ht="15">
      <c r="A234" s="103" t="s">
        <v>461</v>
      </c>
      <c r="B234" s="35" t="s">
        <v>460</v>
      </c>
      <c r="C234" s="36">
        <v>690</v>
      </c>
      <c r="D234" s="36"/>
      <c r="E234" s="36"/>
      <c r="F234" s="36"/>
      <c r="G234" s="55"/>
      <c r="H234" s="55"/>
      <c r="I234" s="55"/>
      <c r="J234" s="54"/>
      <c r="K234" s="54"/>
      <c r="L234" s="54"/>
      <c r="M234" s="54"/>
      <c r="N234" s="57"/>
      <c r="O234" s="102">
        <f t="shared" si="48"/>
        <v>690</v>
      </c>
    </row>
    <row r="235" spans="1:15" ht="15">
      <c r="A235" s="103" t="s">
        <v>344</v>
      </c>
      <c r="B235" s="35" t="s">
        <v>345</v>
      </c>
      <c r="C235" s="5">
        <v>1800</v>
      </c>
      <c r="D235" s="5"/>
      <c r="E235" s="5"/>
      <c r="F235" s="5"/>
      <c r="G235" s="55"/>
      <c r="H235" s="55"/>
      <c r="I235" s="55"/>
      <c r="J235" s="54"/>
      <c r="K235" s="54"/>
      <c r="L235" s="54"/>
      <c r="M235" s="54"/>
      <c r="N235" s="135"/>
      <c r="O235" s="102">
        <f t="shared" si="48"/>
        <v>1800</v>
      </c>
    </row>
    <row r="236" spans="1:15" ht="15.75" thickBot="1">
      <c r="A236" s="103"/>
      <c r="B236" s="70"/>
      <c r="C236" s="72"/>
      <c r="D236" s="72"/>
      <c r="E236" s="72"/>
      <c r="F236" s="72"/>
      <c r="G236" s="120"/>
      <c r="H236" s="120"/>
      <c r="I236" s="120"/>
      <c r="J236" s="134"/>
      <c r="K236" s="134"/>
      <c r="L236" s="134"/>
      <c r="M236" s="134"/>
      <c r="N236" s="134"/>
      <c r="O236" s="102">
        <f t="shared" si="48"/>
        <v>0</v>
      </c>
    </row>
    <row r="237" spans="1:15" ht="15.75" thickBot="1">
      <c r="A237" s="156"/>
      <c r="B237" s="157" t="s">
        <v>21</v>
      </c>
      <c r="C237" s="49">
        <f aca="true" t="shared" si="49" ref="C237:N237">C60+C70+C74+C97+C113+C134+C140+C163+C218</f>
        <v>24362946.697</v>
      </c>
      <c r="D237" s="49">
        <f t="shared" si="49"/>
        <v>16382128</v>
      </c>
      <c r="E237" s="49">
        <f t="shared" si="49"/>
        <v>1312047</v>
      </c>
      <c r="F237" s="49">
        <f t="shared" si="49"/>
        <v>321740</v>
      </c>
      <c r="G237" s="27">
        <f t="shared" si="49"/>
        <v>2106840</v>
      </c>
      <c r="H237" s="27">
        <f t="shared" si="49"/>
        <v>755614</v>
      </c>
      <c r="I237" s="27">
        <f t="shared" si="49"/>
        <v>877434</v>
      </c>
      <c r="J237" s="49">
        <f t="shared" si="49"/>
        <v>2814780</v>
      </c>
      <c r="K237" s="49">
        <f t="shared" si="49"/>
        <v>207390</v>
      </c>
      <c r="L237" s="49">
        <f t="shared" si="49"/>
        <v>241513</v>
      </c>
      <c r="M237" s="49">
        <f t="shared" si="49"/>
        <v>289523</v>
      </c>
      <c r="N237" s="49">
        <f t="shared" si="49"/>
        <v>937748</v>
      </c>
      <c r="O237" s="28">
        <f t="shared" si="48"/>
        <v>50609703.697</v>
      </c>
    </row>
    <row r="238" spans="1:15" ht="15">
      <c r="A238" s="85" t="s">
        <v>479</v>
      </c>
      <c r="B238" s="158" t="s">
        <v>22</v>
      </c>
      <c r="C238" s="159">
        <f>1250650+64493+41526</f>
        <v>1356669</v>
      </c>
      <c r="D238" s="159"/>
      <c r="E238" s="159"/>
      <c r="F238" s="159">
        <v>25241</v>
      </c>
      <c r="G238" s="160">
        <f>34011-25241</f>
        <v>8770</v>
      </c>
      <c r="H238" s="16">
        <v>8645</v>
      </c>
      <c r="I238" s="16">
        <v>30020</v>
      </c>
      <c r="J238" s="16">
        <v>33956</v>
      </c>
      <c r="K238" s="16"/>
      <c r="L238" s="16">
        <v>17728</v>
      </c>
      <c r="M238" s="16">
        <v>31157</v>
      </c>
      <c r="N238" s="16">
        <v>25486</v>
      </c>
      <c r="O238" s="9">
        <f t="shared" si="48"/>
        <v>1537672</v>
      </c>
    </row>
    <row r="239" spans="1:15" ht="43.5">
      <c r="A239" s="85" t="s">
        <v>478</v>
      </c>
      <c r="B239" s="179" t="s">
        <v>452</v>
      </c>
      <c r="C239" s="159">
        <v>54469</v>
      </c>
      <c r="D239" s="159"/>
      <c r="E239" s="159"/>
      <c r="F239" s="159"/>
      <c r="G239" s="16"/>
      <c r="H239" s="16"/>
      <c r="I239" s="16"/>
      <c r="J239" s="16"/>
      <c r="K239" s="16"/>
      <c r="L239" s="16"/>
      <c r="M239" s="16"/>
      <c r="N239" s="16"/>
      <c r="O239" s="9">
        <f>SUM(C239:N239)</f>
        <v>54469</v>
      </c>
    </row>
    <row r="240" spans="1:15" ht="15">
      <c r="A240" s="215" t="s">
        <v>478</v>
      </c>
      <c r="B240" s="2" t="s">
        <v>471</v>
      </c>
      <c r="C240" s="159">
        <v>2800</v>
      </c>
      <c r="D240" s="159"/>
      <c r="E240" s="159"/>
      <c r="F240" s="159"/>
      <c r="G240" s="16"/>
      <c r="H240" s="16"/>
      <c r="I240" s="16"/>
      <c r="J240" s="16"/>
      <c r="K240" s="16"/>
      <c r="L240" s="16"/>
      <c r="M240" s="16"/>
      <c r="N240" s="16"/>
      <c r="O240" s="9">
        <f>SUM(C240:N240)</f>
        <v>2800</v>
      </c>
    </row>
    <row r="241" spans="2:15" ht="15">
      <c r="B241" s="12"/>
      <c r="D241" s="29"/>
      <c r="E241" s="29"/>
      <c r="F241" s="29"/>
      <c r="O241" s="9">
        <f>SUM(C241:N241)</f>
        <v>0</v>
      </c>
    </row>
    <row r="242" spans="1:15" ht="30">
      <c r="A242" s="4" t="s">
        <v>470</v>
      </c>
      <c r="B242" s="1" t="s">
        <v>335</v>
      </c>
      <c r="C242" s="29">
        <v>850000</v>
      </c>
      <c r="D242" s="29">
        <v>859562</v>
      </c>
      <c r="E242" s="29">
        <v>4855</v>
      </c>
      <c r="F242" s="29">
        <v>5402</v>
      </c>
      <c r="G242" s="12">
        <v>11537</v>
      </c>
      <c r="H242" s="12">
        <v>2810</v>
      </c>
      <c r="J242" s="12">
        <v>190748</v>
      </c>
      <c r="N242" s="12">
        <v>500</v>
      </c>
      <c r="O242" s="9">
        <f>SUM(C242:N242)</f>
        <v>1925414</v>
      </c>
    </row>
    <row r="243" spans="1:15" ht="30">
      <c r="A243" s="161" t="s">
        <v>336</v>
      </c>
      <c r="B243" s="162" t="s">
        <v>337</v>
      </c>
      <c r="C243" s="9">
        <f>C48-C237-C238-C239-C240-C242</f>
        <v>9761584.303</v>
      </c>
      <c r="D243" s="9">
        <f>D48-D237-D238-D239-D242</f>
        <v>-2504045</v>
      </c>
      <c r="E243" s="9">
        <f>E48-E237-E238-E239-E242</f>
        <v>-1059784</v>
      </c>
      <c r="F243" s="9">
        <f>F48-F237-F238-F239-F242</f>
        <v>-61186</v>
      </c>
      <c r="G243" s="9">
        <f aca="true" t="shared" si="50" ref="G243:N243">G48-G237-G238-G239-G242</f>
        <v>-1804915</v>
      </c>
      <c r="H243" s="9">
        <f t="shared" si="50"/>
        <v>-460063</v>
      </c>
      <c r="I243" s="9">
        <f t="shared" si="50"/>
        <v>-661845</v>
      </c>
      <c r="J243" s="9">
        <f>J48-J237-J238-J239-J242</f>
        <v>-1829922</v>
      </c>
      <c r="K243" s="9">
        <f t="shared" si="50"/>
        <v>-143729</v>
      </c>
      <c r="L243" s="9">
        <f t="shared" si="50"/>
        <v>-193675</v>
      </c>
      <c r="M243" s="9">
        <f>M48-M237-M238-M239-M242</f>
        <v>-238271</v>
      </c>
      <c r="N243" s="9">
        <f t="shared" si="50"/>
        <v>-804149</v>
      </c>
      <c r="O243" s="9">
        <f>SUM(C243:N243)</f>
        <v>0.30299999937415123</v>
      </c>
    </row>
    <row r="244" spans="1:15" ht="15">
      <c r="A244" s="161"/>
      <c r="B244" s="162"/>
      <c r="C244" s="9"/>
      <c r="D244" s="9">
        <v>-2546724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5">
      <c r="A245" s="161"/>
      <c r="B245" s="162"/>
      <c r="C245" s="9"/>
      <c r="D245" s="9">
        <v>42679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5">
      <c r="A246" s="161"/>
      <c r="B246" s="162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2:15" ht="15">
      <c r="B247" s="220" t="s">
        <v>462</v>
      </c>
      <c r="E247" s="14"/>
      <c r="F247" s="14" t="s">
        <v>23</v>
      </c>
      <c r="N247" s="29"/>
      <c r="O247" s="163"/>
    </row>
    <row r="248" ht="15">
      <c r="B248" s="89"/>
    </row>
    <row r="249" spans="1:6" ht="44.25" customHeight="1" thickBot="1">
      <c r="A249" s="225" t="s">
        <v>453</v>
      </c>
      <c r="B249" s="225"/>
      <c r="C249" s="225"/>
      <c r="D249" s="225"/>
      <c r="E249" s="29"/>
      <c r="F249" s="29"/>
    </row>
    <row r="250" spans="1:15" ht="105.75" thickBot="1">
      <c r="A250" s="20" t="s">
        <v>10</v>
      </c>
      <c r="B250" s="21" t="s">
        <v>149</v>
      </c>
      <c r="C250" s="181" t="s">
        <v>405</v>
      </c>
      <c r="D250" s="182" t="s">
        <v>406</v>
      </c>
      <c r="E250" s="22" t="s">
        <v>407</v>
      </c>
      <c r="F250" s="22" t="s">
        <v>457</v>
      </c>
      <c r="G250" s="23" t="s">
        <v>408</v>
      </c>
      <c r="H250" s="23" t="s">
        <v>409</v>
      </c>
      <c r="I250" s="23" t="s">
        <v>410</v>
      </c>
      <c r="J250" s="23" t="s">
        <v>411</v>
      </c>
      <c r="K250" s="23" t="s">
        <v>412</v>
      </c>
      <c r="L250" s="23" t="s">
        <v>413</v>
      </c>
      <c r="M250" s="23" t="s">
        <v>414</v>
      </c>
      <c r="N250" s="183" t="s">
        <v>415</v>
      </c>
      <c r="O250" s="24" t="s">
        <v>416</v>
      </c>
    </row>
    <row r="251" spans="1:15" ht="15">
      <c r="A251" s="164">
        <v>1100</v>
      </c>
      <c r="B251" s="61" t="s">
        <v>216</v>
      </c>
      <c r="C251" s="201">
        <f>9434555+11924+1143872</f>
        <v>10590351</v>
      </c>
      <c r="D251" s="165">
        <v>2481762</v>
      </c>
      <c r="E251" s="165">
        <v>556426</v>
      </c>
      <c r="F251" s="165">
        <v>51636</v>
      </c>
      <c r="G251" s="165">
        <v>1081507</v>
      </c>
      <c r="H251" s="166">
        <v>251096</v>
      </c>
      <c r="I251" s="166">
        <v>386896</v>
      </c>
      <c r="J251" s="166">
        <v>1360089</v>
      </c>
      <c r="K251" s="166">
        <v>80225</v>
      </c>
      <c r="L251" s="166">
        <v>113307</v>
      </c>
      <c r="M251" s="166">
        <v>125850</v>
      </c>
      <c r="N251" s="166">
        <v>430647</v>
      </c>
      <c r="O251" s="167">
        <f aca="true" t="shared" si="51" ref="O251:O272">SUM(C251:N251)</f>
        <v>17509792</v>
      </c>
    </row>
    <row r="252" spans="1:15" ht="60">
      <c r="A252" s="65">
        <v>1200</v>
      </c>
      <c r="B252" s="35" t="s">
        <v>338</v>
      </c>
      <c r="C252" s="5">
        <f>2899424+2813+269804</f>
        <v>3172041</v>
      </c>
      <c r="D252" s="54">
        <v>590153</v>
      </c>
      <c r="E252" s="54">
        <v>161244</v>
      </c>
      <c r="F252" s="54">
        <v>13543</v>
      </c>
      <c r="G252" s="54">
        <v>318163</v>
      </c>
      <c r="H252" s="202">
        <v>74042</v>
      </c>
      <c r="I252" s="202">
        <v>113353</v>
      </c>
      <c r="J252" s="202">
        <v>401111</v>
      </c>
      <c r="K252" s="202">
        <v>23914</v>
      </c>
      <c r="L252" s="202">
        <v>34911</v>
      </c>
      <c r="M252" s="202">
        <v>36034</v>
      </c>
      <c r="N252" s="202">
        <v>192774</v>
      </c>
      <c r="O252" s="169">
        <f>SUM(C252:N252)</f>
        <v>5131283</v>
      </c>
    </row>
    <row r="253" spans="1:15" ht="15">
      <c r="A253" s="65">
        <v>2000</v>
      </c>
      <c r="B253" s="35" t="s">
        <v>200</v>
      </c>
      <c r="C253" s="5">
        <f>SUM(C254:C259)</f>
        <v>4661161</v>
      </c>
      <c r="D253" s="54">
        <f>SUM(D254:D259)</f>
        <v>9293650</v>
      </c>
      <c r="E253" s="54">
        <f>SUM(E254:E259)</f>
        <v>369421</v>
      </c>
      <c r="F253" s="54">
        <f>SUM(F254:F259)</f>
        <v>200256</v>
      </c>
      <c r="G253" s="54">
        <f aca="true" t="shared" si="52" ref="G253:N253">SUM(G254:G259)</f>
        <v>622305</v>
      </c>
      <c r="H253" s="202">
        <f t="shared" si="52"/>
        <v>274532</v>
      </c>
      <c r="I253" s="202">
        <f t="shared" si="52"/>
        <v>300847</v>
      </c>
      <c r="J253" s="202">
        <f t="shared" si="52"/>
        <v>927459</v>
      </c>
      <c r="K253" s="202">
        <f t="shared" si="52"/>
        <v>81077</v>
      </c>
      <c r="L253" s="202">
        <f>SUM(L254:L259)</f>
        <v>59388</v>
      </c>
      <c r="M253" s="202">
        <f>SUM(M254:M259)</f>
        <v>76944</v>
      </c>
      <c r="N253" s="202">
        <f t="shared" si="52"/>
        <v>204973</v>
      </c>
      <c r="O253" s="169">
        <f>SUM(C253:N253)</f>
        <v>17072013</v>
      </c>
    </row>
    <row r="254" spans="1:15" ht="30">
      <c r="A254" s="65">
        <v>2100</v>
      </c>
      <c r="B254" s="35" t="s">
        <v>454</v>
      </c>
      <c r="C254" s="5">
        <f>38071+5578+6148</f>
        <v>49797</v>
      </c>
      <c r="D254" s="54">
        <v>5883</v>
      </c>
      <c r="E254" s="54">
        <v>184</v>
      </c>
      <c r="F254" s="54"/>
      <c r="G254" s="54">
        <v>962</v>
      </c>
      <c r="H254" s="202">
        <v>265</v>
      </c>
      <c r="I254" s="202">
        <v>120</v>
      </c>
      <c r="J254" s="202">
        <v>1027</v>
      </c>
      <c r="K254" s="202">
        <v>10</v>
      </c>
      <c r="L254" s="202">
        <v>110</v>
      </c>
      <c r="M254" s="202">
        <v>700</v>
      </c>
      <c r="N254" s="202">
        <v>780</v>
      </c>
      <c r="O254" s="169">
        <f t="shared" si="51"/>
        <v>59838</v>
      </c>
    </row>
    <row r="255" spans="1:15" ht="15">
      <c r="A255" s="65">
        <v>2200</v>
      </c>
      <c r="B255" s="35" t="s">
        <v>201</v>
      </c>
      <c r="C255" s="5">
        <f>3520583+8270-16269-5000-87577+5000</f>
        <v>3425007</v>
      </c>
      <c r="D255" s="54">
        <f>4850644+25000</f>
        <v>4875644</v>
      </c>
      <c r="E255" s="54">
        <v>253265</v>
      </c>
      <c r="F255" s="54">
        <v>184947</v>
      </c>
      <c r="G255" s="54">
        <f>383109-1000</f>
        <v>382109</v>
      </c>
      <c r="H255" s="202">
        <f>116938+6806</f>
        <v>123744</v>
      </c>
      <c r="I255" s="202">
        <v>162097</v>
      </c>
      <c r="J255" s="202">
        <v>584095</v>
      </c>
      <c r="K255" s="202">
        <v>57067</v>
      </c>
      <c r="L255" s="202">
        <f>36570+1663</f>
        <v>38233</v>
      </c>
      <c r="M255" s="202">
        <v>35619</v>
      </c>
      <c r="N255" s="202">
        <f>131499-20000+5183+387</f>
        <v>117069</v>
      </c>
      <c r="O255" s="169">
        <f t="shared" si="51"/>
        <v>10238896</v>
      </c>
    </row>
    <row r="256" spans="1:15" ht="45">
      <c r="A256" s="65">
        <v>2300</v>
      </c>
      <c r="B256" s="35" t="s">
        <v>202</v>
      </c>
      <c r="C256" s="5">
        <f>979601+26706+105637</f>
        <v>1111944</v>
      </c>
      <c r="D256" s="54">
        <v>4235127</v>
      </c>
      <c r="E256" s="54">
        <v>110327</v>
      </c>
      <c r="F256" s="54">
        <v>7659</v>
      </c>
      <c r="G256" s="54">
        <f>237721-2500</f>
        <v>235221</v>
      </c>
      <c r="H256" s="202">
        <v>140953</v>
      </c>
      <c r="I256" s="202">
        <f>130438+1738</f>
        <v>132176</v>
      </c>
      <c r="J256" s="202">
        <f>323233+507</f>
        <v>323740</v>
      </c>
      <c r="K256" s="202">
        <v>22730</v>
      </c>
      <c r="L256" s="202">
        <v>19811</v>
      </c>
      <c r="M256" s="202">
        <f>34830+4645</f>
        <v>39475</v>
      </c>
      <c r="N256" s="202">
        <f>82901+471</f>
        <v>83372</v>
      </c>
      <c r="O256" s="169">
        <f>SUM(C256:N256)</f>
        <v>6462535</v>
      </c>
    </row>
    <row r="257" spans="1:15" ht="15">
      <c r="A257" s="65">
        <v>2400</v>
      </c>
      <c r="B257" s="35" t="s">
        <v>203</v>
      </c>
      <c r="C257" s="5">
        <v>5658</v>
      </c>
      <c r="D257" s="54"/>
      <c r="E257" s="54"/>
      <c r="F257" s="54"/>
      <c r="G257" s="54">
        <v>2562</v>
      </c>
      <c r="H257" s="202">
        <v>800</v>
      </c>
      <c r="I257" s="202">
        <v>700</v>
      </c>
      <c r="J257" s="202">
        <v>1297</v>
      </c>
      <c r="K257" s="202">
        <v>520</v>
      </c>
      <c r="L257" s="202">
        <v>480</v>
      </c>
      <c r="M257" s="202">
        <v>650</v>
      </c>
      <c r="N257" s="202">
        <v>1274</v>
      </c>
      <c r="O257" s="169">
        <f t="shared" si="51"/>
        <v>13941</v>
      </c>
    </row>
    <row r="258" spans="1:15" ht="15">
      <c r="A258" s="65">
        <v>2500</v>
      </c>
      <c r="B258" s="35" t="s">
        <v>204</v>
      </c>
      <c r="C258" s="5">
        <f>33150+605</f>
        <v>33755</v>
      </c>
      <c r="D258" s="54">
        <v>176996</v>
      </c>
      <c r="E258" s="54">
        <v>5645</v>
      </c>
      <c r="F258" s="54">
        <v>7650</v>
      </c>
      <c r="G258" s="54">
        <v>1451</v>
      </c>
      <c r="H258" s="202">
        <v>8770</v>
      </c>
      <c r="I258" s="202">
        <v>5754</v>
      </c>
      <c r="J258" s="202">
        <v>17300</v>
      </c>
      <c r="K258" s="202">
        <v>750</v>
      </c>
      <c r="L258" s="202">
        <v>754</v>
      </c>
      <c r="M258" s="202">
        <v>500</v>
      </c>
      <c r="N258" s="202">
        <v>2478</v>
      </c>
      <c r="O258" s="169">
        <f t="shared" si="51"/>
        <v>261803</v>
      </c>
    </row>
    <row r="259" spans="1:15" ht="45">
      <c r="A259" s="65">
        <v>2800</v>
      </c>
      <c r="B259" s="35" t="s">
        <v>339</v>
      </c>
      <c r="C259" s="5">
        <v>35000</v>
      </c>
      <c r="D259" s="54"/>
      <c r="E259" s="54"/>
      <c r="F259" s="54"/>
      <c r="G259" s="54"/>
      <c r="H259" s="202"/>
      <c r="I259" s="202"/>
      <c r="J259" s="202"/>
      <c r="K259" s="202"/>
      <c r="L259" s="202"/>
      <c r="M259" s="202"/>
      <c r="N259" s="202"/>
      <c r="O259" s="169">
        <f t="shared" si="51"/>
        <v>35000</v>
      </c>
    </row>
    <row r="260" spans="1:15" ht="30">
      <c r="A260" s="65">
        <v>3200</v>
      </c>
      <c r="B260" s="35" t="s">
        <v>340</v>
      </c>
      <c r="C260" s="5">
        <f>151020+3006-2747</f>
        <v>151279</v>
      </c>
      <c r="D260" s="54"/>
      <c r="E260" s="54"/>
      <c r="F260" s="54"/>
      <c r="G260" s="54"/>
      <c r="H260" s="202"/>
      <c r="I260" s="202"/>
      <c r="J260" s="202"/>
      <c r="K260" s="202"/>
      <c r="L260" s="202"/>
      <c r="M260" s="202"/>
      <c r="N260" s="202"/>
      <c r="O260" s="169">
        <f t="shared" si="51"/>
        <v>151279</v>
      </c>
    </row>
    <row r="261" spans="1:15" ht="30">
      <c r="A261" s="65">
        <v>4200</v>
      </c>
      <c r="B261" s="35" t="s">
        <v>205</v>
      </c>
      <c r="C261" s="5"/>
      <c r="D261" s="54"/>
      <c r="E261" s="54"/>
      <c r="F261" s="54"/>
      <c r="G261" s="54"/>
      <c r="H261" s="202"/>
      <c r="I261" s="202"/>
      <c r="J261" s="202"/>
      <c r="K261" s="202"/>
      <c r="L261" s="202"/>
      <c r="M261" s="202"/>
      <c r="N261" s="202"/>
      <c r="O261" s="169">
        <f t="shared" si="51"/>
        <v>0</v>
      </c>
    </row>
    <row r="262" spans="1:15" ht="15">
      <c r="A262" s="65">
        <v>4300</v>
      </c>
      <c r="B262" s="35" t="s">
        <v>206</v>
      </c>
      <c r="C262" s="5">
        <v>86010</v>
      </c>
      <c r="D262" s="54"/>
      <c r="E262" s="54"/>
      <c r="F262" s="54">
        <v>643</v>
      </c>
      <c r="G262" s="54">
        <v>821</v>
      </c>
      <c r="H262" s="202">
        <v>410</v>
      </c>
      <c r="I262" s="202">
        <v>3009</v>
      </c>
      <c r="J262" s="202">
        <v>402</v>
      </c>
      <c r="K262" s="202"/>
      <c r="L262" s="202">
        <v>315</v>
      </c>
      <c r="M262" s="202">
        <v>2321</v>
      </c>
      <c r="N262" s="202">
        <v>3955</v>
      </c>
      <c r="O262" s="169">
        <f t="shared" si="51"/>
        <v>97886</v>
      </c>
    </row>
    <row r="263" spans="1:15" ht="15">
      <c r="A263" s="65">
        <v>5100</v>
      </c>
      <c r="B263" s="35" t="s">
        <v>138</v>
      </c>
      <c r="C263" s="5">
        <f>81889+300-2467</f>
        <v>79722</v>
      </c>
      <c r="D263" s="54"/>
      <c r="E263" s="54"/>
      <c r="F263" s="54"/>
      <c r="G263" s="54">
        <v>400</v>
      </c>
      <c r="H263" s="202">
        <v>209</v>
      </c>
      <c r="I263" s="202">
        <v>408</v>
      </c>
      <c r="J263" s="202">
        <v>3052</v>
      </c>
      <c r="K263" s="202"/>
      <c r="L263" s="202"/>
      <c r="M263" s="202"/>
      <c r="N263" s="202">
        <v>116</v>
      </c>
      <c r="O263" s="169">
        <f t="shared" si="51"/>
        <v>83907</v>
      </c>
    </row>
    <row r="264" spans="1:15" ht="15">
      <c r="A264" s="65">
        <v>5200</v>
      </c>
      <c r="B264" s="35" t="s">
        <v>207</v>
      </c>
      <c r="C264" s="5">
        <f>3745742+236701+510+16269+8423</f>
        <v>4007645</v>
      </c>
      <c r="D264" s="54">
        <v>4016563</v>
      </c>
      <c r="E264" s="54">
        <v>224956</v>
      </c>
      <c r="F264" s="54">
        <v>55662</v>
      </c>
      <c r="G264" s="54">
        <f>31315-6271</f>
        <v>25044</v>
      </c>
      <c r="H264" s="202">
        <v>115825</v>
      </c>
      <c r="I264" s="202">
        <v>17785</v>
      </c>
      <c r="J264" s="202">
        <v>56019</v>
      </c>
      <c r="K264" s="202">
        <v>2835</v>
      </c>
      <c r="L264" s="202">
        <v>13292</v>
      </c>
      <c r="M264" s="202">
        <f>25174+2000</f>
        <v>27174</v>
      </c>
      <c r="N264" s="202">
        <f>38860+20000</f>
        <v>58860</v>
      </c>
      <c r="O264" s="169">
        <f t="shared" si="51"/>
        <v>8621660</v>
      </c>
    </row>
    <row r="265" spans="1:15" ht="15">
      <c r="A265" s="65">
        <v>6200</v>
      </c>
      <c r="B265" s="35" t="s">
        <v>208</v>
      </c>
      <c r="C265" s="5">
        <f>294820+9641</f>
        <v>304461</v>
      </c>
      <c r="D265" s="54"/>
      <c r="E265" s="54"/>
      <c r="F265" s="54"/>
      <c r="G265" s="54">
        <v>36000</v>
      </c>
      <c r="H265" s="202">
        <v>14900</v>
      </c>
      <c r="I265" s="202">
        <v>27535</v>
      </c>
      <c r="J265" s="202">
        <v>17594</v>
      </c>
      <c r="K265" s="202">
        <f>17137+675</f>
        <v>17812</v>
      </c>
      <c r="L265" s="202">
        <v>17300</v>
      </c>
      <c r="M265" s="202">
        <v>18000</v>
      </c>
      <c r="N265" s="202">
        <v>30267</v>
      </c>
      <c r="O265" s="169">
        <f t="shared" si="51"/>
        <v>483869</v>
      </c>
    </row>
    <row r="266" spans="1:15" ht="15">
      <c r="A266" s="65">
        <v>6300</v>
      </c>
      <c r="B266" s="35" t="s">
        <v>209</v>
      </c>
      <c r="C266" s="5">
        <v>521800</v>
      </c>
      <c r="D266" s="54"/>
      <c r="E266" s="54"/>
      <c r="F266" s="54"/>
      <c r="G266" s="54">
        <v>10600</v>
      </c>
      <c r="H266" s="202">
        <v>5200</v>
      </c>
      <c r="I266" s="202">
        <v>7600</v>
      </c>
      <c r="J266" s="202">
        <v>24200</v>
      </c>
      <c r="K266" s="202">
        <v>1527</v>
      </c>
      <c r="L266" s="202">
        <v>2000</v>
      </c>
      <c r="M266" s="202">
        <v>1200</v>
      </c>
      <c r="N266" s="202">
        <v>6356</v>
      </c>
      <c r="O266" s="169">
        <f t="shared" si="51"/>
        <v>580483</v>
      </c>
    </row>
    <row r="267" spans="1:15" ht="30">
      <c r="A267" s="65">
        <v>6400</v>
      </c>
      <c r="B267" s="35" t="s">
        <v>341</v>
      </c>
      <c r="C267" s="5">
        <v>155042</v>
      </c>
      <c r="D267" s="54"/>
      <c r="E267" s="54"/>
      <c r="F267" s="54"/>
      <c r="G267" s="54">
        <v>12000</v>
      </c>
      <c r="H267" s="202">
        <v>17500</v>
      </c>
      <c r="I267" s="202">
        <v>19601</v>
      </c>
      <c r="J267" s="202">
        <v>16642</v>
      </c>
      <c r="K267" s="202"/>
      <c r="L267" s="202">
        <v>1000</v>
      </c>
      <c r="M267" s="202">
        <v>2000</v>
      </c>
      <c r="N267" s="202">
        <v>9800</v>
      </c>
      <c r="O267" s="169">
        <f t="shared" si="51"/>
        <v>233585</v>
      </c>
    </row>
    <row r="268" spans="1:15" ht="30">
      <c r="A268" s="65">
        <v>6500</v>
      </c>
      <c r="B268" s="35" t="s">
        <v>468</v>
      </c>
      <c r="C268" s="5">
        <f>500+4048</f>
        <v>4548</v>
      </c>
      <c r="D268" s="54"/>
      <c r="E268" s="54"/>
      <c r="F268" s="54"/>
      <c r="G268" s="202"/>
      <c r="H268" s="168"/>
      <c r="I268" s="202"/>
      <c r="J268" s="202"/>
      <c r="K268" s="202"/>
      <c r="L268" s="202"/>
      <c r="M268" s="202"/>
      <c r="N268" s="202"/>
      <c r="O268" s="169">
        <f t="shared" si="51"/>
        <v>4548</v>
      </c>
    </row>
    <row r="269" spans="1:15" ht="30">
      <c r="A269" s="65">
        <v>7200</v>
      </c>
      <c r="B269" s="35" t="s">
        <v>342</v>
      </c>
      <c r="C269" s="5">
        <f>615516+4219</f>
        <v>619735</v>
      </c>
      <c r="D269" s="54"/>
      <c r="E269" s="54"/>
      <c r="F269" s="54"/>
      <c r="G269" s="203"/>
      <c r="H269" s="104">
        <v>1900</v>
      </c>
      <c r="I269" s="202">
        <v>400</v>
      </c>
      <c r="J269" s="202">
        <v>8212</v>
      </c>
      <c r="K269" s="202"/>
      <c r="L269" s="202"/>
      <c r="M269" s="202"/>
      <c r="N269" s="202"/>
      <c r="O269" s="169">
        <f>SUM(C269:N269)</f>
        <v>630247</v>
      </c>
    </row>
    <row r="270" spans="1:15" ht="15">
      <c r="A270" s="65">
        <v>7700</v>
      </c>
      <c r="B270" s="35" t="s">
        <v>455</v>
      </c>
      <c r="C270" s="5">
        <v>7970</v>
      </c>
      <c r="D270" s="54"/>
      <c r="E270" s="54"/>
      <c r="F270" s="54"/>
      <c r="G270" s="203"/>
      <c r="H270" s="104"/>
      <c r="I270" s="202"/>
      <c r="J270" s="202"/>
      <c r="K270" s="202"/>
      <c r="L270" s="202"/>
      <c r="M270" s="202"/>
      <c r="N270" s="168"/>
      <c r="O270" s="169">
        <f>SUM(C270:N270)</f>
        <v>7970</v>
      </c>
    </row>
    <row r="271" spans="1:15" ht="15">
      <c r="A271" s="65">
        <v>8100</v>
      </c>
      <c r="B271" s="54" t="s">
        <v>211</v>
      </c>
      <c r="C271" s="5"/>
      <c r="D271" s="54"/>
      <c r="E271" s="54"/>
      <c r="F271" s="54"/>
      <c r="G271" s="203"/>
      <c r="H271" s="104"/>
      <c r="I271" s="202"/>
      <c r="J271" s="202"/>
      <c r="K271" s="202"/>
      <c r="L271" s="202"/>
      <c r="M271" s="202"/>
      <c r="N271" s="168"/>
      <c r="O271" s="169">
        <f t="shared" si="51"/>
        <v>0</v>
      </c>
    </row>
    <row r="272" spans="1:15" ht="15.75" thickBot="1">
      <c r="A272" s="58">
        <v>9200</v>
      </c>
      <c r="B272" s="204" t="s">
        <v>456</v>
      </c>
      <c r="C272" s="62">
        <v>1182</v>
      </c>
      <c r="D272" s="170"/>
      <c r="E272" s="170"/>
      <c r="F272" s="185"/>
      <c r="G272" s="205"/>
      <c r="H272" s="171"/>
      <c r="I272" s="206"/>
      <c r="J272" s="207"/>
      <c r="K272" s="206"/>
      <c r="L272" s="206"/>
      <c r="M272" s="207"/>
      <c r="N272" s="208"/>
      <c r="O272" s="169">
        <f t="shared" si="51"/>
        <v>1182</v>
      </c>
    </row>
    <row r="273" spans="1:15" ht="15.75" thickBot="1">
      <c r="A273" s="156"/>
      <c r="B273" s="172" t="s">
        <v>210</v>
      </c>
      <c r="C273" s="209">
        <f aca="true" t="shared" si="53" ref="C273:N273">SUM(C251:C253,C260:C272)</f>
        <v>24362947</v>
      </c>
      <c r="D273" s="173">
        <f t="shared" si="53"/>
        <v>16382128</v>
      </c>
      <c r="E273" s="173">
        <f t="shared" si="53"/>
        <v>1312047</v>
      </c>
      <c r="F273" s="173">
        <f t="shared" si="53"/>
        <v>321740</v>
      </c>
      <c r="G273" s="173">
        <f t="shared" si="53"/>
        <v>2106840</v>
      </c>
      <c r="H273" s="173">
        <f t="shared" si="53"/>
        <v>755614</v>
      </c>
      <c r="I273" s="210">
        <f t="shared" si="53"/>
        <v>877434</v>
      </c>
      <c r="J273" s="211">
        <f t="shared" si="53"/>
        <v>2814780</v>
      </c>
      <c r="K273" s="210">
        <f t="shared" si="53"/>
        <v>207390</v>
      </c>
      <c r="L273" s="210">
        <f>SUM(L251:L253,L260:L272)</f>
        <v>241513</v>
      </c>
      <c r="M273" s="211">
        <f>SUM(M251:M253,M260:M272)</f>
        <v>289523</v>
      </c>
      <c r="N273" s="211">
        <f t="shared" si="53"/>
        <v>937748</v>
      </c>
      <c r="O273" s="174">
        <f>SUM(C273:N273)</f>
        <v>50609704</v>
      </c>
    </row>
    <row r="274" spans="2:6" ht="15">
      <c r="B274" s="175"/>
      <c r="C274" s="6"/>
      <c r="D274" s="6"/>
      <c r="E274" s="29"/>
      <c r="F274" s="29"/>
    </row>
    <row r="275" spans="2:15" ht="15">
      <c r="B275" s="175"/>
      <c r="C275" s="6"/>
      <c r="D275" s="6"/>
      <c r="E275" s="29"/>
      <c r="F275" s="29"/>
      <c r="O275" s="159"/>
    </row>
    <row r="276" spans="2:6" ht="15">
      <c r="B276" s="220" t="s">
        <v>462</v>
      </c>
      <c r="C276" s="6"/>
      <c r="D276" s="6"/>
      <c r="E276" s="29"/>
      <c r="F276" s="29" t="s">
        <v>23</v>
      </c>
    </row>
    <row r="281" ht="15">
      <c r="B281" s="89"/>
    </row>
  </sheetData>
  <sheetProtection/>
  <mergeCells count="3">
    <mergeCell ref="A5:D5"/>
    <mergeCell ref="A58:D58"/>
    <mergeCell ref="A249:D249"/>
  </mergeCells>
  <printOptions/>
  <pageMargins left="0.55" right="0.17" top="0.7874015748031497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pane xSplit="3" ySplit="6" topLeftCell="D13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D2" sqref="D2"/>
    </sheetView>
  </sheetViews>
  <sheetFormatPr defaultColWidth="9.140625" defaultRowHeight="12.75"/>
  <cols>
    <col min="1" max="1" width="10.140625" style="226" customWidth="1"/>
    <col min="2" max="2" width="44.28125" style="227" customWidth="1"/>
    <col min="3" max="3" width="9.140625" style="226" hidden="1" customWidth="1"/>
    <col min="4" max="5" width="10.7109375" style="226" customWidth="1"/>
    <col min="6" max="6" width="9.7109375" style="226" customWidth="1"/>
    <col min="7" max="7" width="10.00390625" style="226" bestFit="1" customWidth="1"/>
    <col min="8" max="8" width="9.7109375" style="226" customWidth="1"/>
    <col min="9" max="9" width="10.7109375" style="226" customWidth="1"/>
    <col min="10" max="12" width="9.7109375" style="226" bestFit="1" customWidth="1"/>
    <col min="13" max="13" width="9.7109375" style="226" customWidth="1"/>
    <col min="14" max="14" width="11.57421875" style="229" customWidth="1"/>
    <col min="15" max="16384" width="9.140625" style="226" customWidth="1"/>
  </cols>
  <sheetData>
    <row r="1" ht="15">
      <c r="F1" s="228" t="s">
        <v>480</v>
      </c>
    </row>
    <row r="2" spans="1:6" ht="15">
      <c r="A2" s="230"/>
      <c r="F2" s="230" t="s">
        <v>481</v>
      </c>
    </row>
    <row r="3" spans="1:6" ht="15">
      <c r="A3" s="230"/>
      <c r="F3" s="230" t="s">
        <v>506</v>
      </c>
    </row>
    <row r="4" spans="1:13" ht="20.25">
      <c r="A4" s="231" t="s">
        <v>482</v>
      </c>
      <c r="B4" s="231"/>
      <c r="C4" s="231"/>
      <c r="D4" s="231"/>
      <c r="E4" s="231"/>
      <c r="L4" s="232"/>
      <c r="M4" s="232"/>
    </row>
    <row r="5" spans="1:5" ht="15.75" thickBot="1">
      <c r="A5" s="230"/>
      <c r="B5" s="233"/>
      <c r="C5" s="230"/>
      <c r="D5" s="230"/>
      <c r="E5" s="230"/>
    </row>
    <row r="6" spans="1:14" ht="111" thickBot="1">
      <c r="A6" s="234" t="s">
        <v>10</v>
      </c>
      <c r="B6" s="235" t="s">
        <v>9</v>
      </c>
      <c r="C6" s="236" t="s">
        <v>483</v>
      </c>
      <c r="D6" s="237" t="s">
        <v>405</v>
      </c>
      <c r="E6" s="182" t="s">
        <v>406</v>
      </c>
      <c r="F6" s="238" t="s">
        <v>408</v>
      </c>
      <c r="G6" s="239" t="s">
        <v>409</v>
      </c>
      <c r="H6" s="240" t="s">
        <v>410</v>
      </c>
      <c r="I6" s="240" t="s">
        <v>411</v>
      </c>
      <c r="J6" s="240" t="s">
        <v>412</v>
      </c>
      <c r="K6" s="240" t="s">
        <v>413</v>
      </c>
      <c r="L6" s="240" t="s">
        <v>414</v>
      </c>
      <c r="M6" s="241" t="s">
        <v>415</v>
      </c>
      <c r="N6" s="242" t="s">
        <v>416</v>
      </c>
    </row>
    <row r="7" spans="1:15" ht="15">
      <c r="A7" s="243"/>
      <c r="B7" s="244" t="s">
        <v>24</v>
      </c>
      <c r="C7" s="245" t="e">
        <f>C8+#REF!+#REF!+#REF!</f>
        <v>#REF!</v>
      </c>
      <c r="D7" s="245">
        <f aca="true" t="shared" si="0" ref="D7:M7">D8</f>
        <v>80000</v>
      </c>
      <c r="E7" s="245">
        <f t="shared" si="0"/>
        <v>0</v>
      </c>
      <c r="F7" s="245">
        <f t="shared" si="0"/>
        <v>0</v>
      </c>
      <c r="G7" s="245">
        <f t="shared" si="0"/>
        <v>0</v>
      </c>
      <c r="H7" s="245">
        <f t="shared" si="0"/>
        <v>0</v>
      </c>
      <c r="I7" s="245">
        <f t="shared" si="0"/>
        <v>0</v>
      </c>
      <c r="J7" s="245">
        <f t="shared" si="0"/>
        <v>0</v>
      </c>
      <c r="K7" s="245">
        <f t="shared" si="0"/>
        <v>0</v>
      </c>
      <c r="L7" s="245">
        <f t="shared" si="0"/>
        <v>0</v>
      </c>
      <c r="M7" s="245">
        <f t="shared" si="0"/>
        <v>0</v>
      </c>
      <c r="N7" s="246">
        <f aca="true" t="shared" si="1" ref="N7:N20">SUM(D7:M7)</f>
        <v>80000</v>
      </c>
      <c r="O7" s="247"/>
    </row>
    <row r="8" spans="1:14" ht="15">
      <c r="A8" s="248" t="s">
        <v>484</v>
      </c>
      <c r="B8" s="249" t="s">
        <v>485</v>
      </c>
      <c r="C8" s="250" t="e">
        <f>SUM(#REF!)</f>
        <v>#REF!</v>
      </c>
      <c r="D8" s="250">
        <v>80000</v>
      </c>
      <c r="E8" s="250"/>
      <c r="F8" s="250"/>
      <c r="G8" s="250"/>
      <c r="H8" s="250"/>
      <c r="I8" s="250"/>
      <c r="J8" s="250"/>
      <c r="K8" s="250"/>
      <c r="L8" s="250"/>
      <c r="M8" s="250"/>
      <c r="N8" s="251">
        <f t="shared" si="1"/>
        <v>80000</v>
      </c>
    </row>
    <row r="9" spans="1:14" ht="15">
      <c r="A9" s="252"/>
      <c r="B9" s="253" t="s">
        <v>33</v>
      </c>
      <c r="C9" s="254">
        <f aca="true" t="shared" si="2" ref="C9:M9">SUM(C10:C11)</f>
        <v>0</v>
      </c>
      <c r="D9" s="254">
        <f t="shared" si="2"/>
        <v>40</v>
      </c>
      <c r="E9" s="255">
        <f t="shared" si="2"/>
        <v>0</v>
      </c>
      <c r="F9" s="255">
        <f t="shared" si="2"/>
        <v>0</v>
      </c>
      <c r="G9" s="255">
        <f t="shared" si="2"/>
        <v>0</v>
      </c>
      <c r="H9" s="255">
        <f t="shared" si="2"/>
        <v>0</v>
      </c>
      <c r="I9" s="255">
        <f t="shared" si="2"/>
        <v>0</v>
      </c>
      <c r="J9" s="255">
        <f t="shared" si="2"/>
        <v>6000</v>
      </c>
      <c r="K9" s="255">
        <f t="shared" si="2"/>
        <v>0</v>
      </c>
      <c r="L9" s="254">
        <f t="shared" si="2"/>
        <v>0</v>
      </c>
      <c r="M9" s="255">
        <f t="shared" si="2"/>
        <v>0</v>
      </c>
      <c r="N9" s="246">
        <f t="shared" si="1"/>
        <v>6040</v>
      </c>
    </row>
    <row r="10" spans="1:14" ht="15">
      <c r="A10" s="248" t="s">
        <v>486</v>
      </c>
      <c r="B10" s="249" t="s">
        <v>487</v>
      </c>
      <c r="C10" s="250"/>
      <c r="D10" s="250">
        <v>40</v>
      </c>
      <c r="E10" s="256"/>
      <c r="F10" s="256"/>
      <c r="G10" s="257"/>
      <c r="H10" s="258"/>
      <c r="I10" s="258"/>
      <c r="J10" s="258"/>
      <c r="K10" s="258"/>
      <c r="L10" s="258"/>
      <c r="M10" s="259"/>
      <c r="N10" s="251">
        <f t="shared" si="1"/>
        <v>40</v>
      </c>
    </row>
    <row r="11" spans="1:14" ht="15">
      <c r="A11" s="248" t="s">
        <v>488</v>
      </c>
      <c r="B11" s="249" t="s">
        <v>489</v>
      </c>
      <c r="C11" s="254"/>
      <c r="D11" s="250"/>
      <c r="E11" s="256"/>
      <c r="F11" s="256"/>
      <c r="G11" s="257"/>
      <c r="H11" s="258"/>
      <c r="I11" s="258"/>
      <c r="J11" s="250">
        <v>6000</v>
      </c>
      <c r="K11" s="258"/>
      <c r="L11" s="258"/>
      <c r="M11" s="259"/>
      <c r="N11" s="251">
        <f t="shared" si="1"/>
        <v>6000</v>
      </c>
    </row>
    <row r="12" spans="1:14" s="229" customFormat="1" ht="28.5">
      <c r="A12" s="260" t="s">
        <v>490</v>
      </c>
      <c r="B12" s="253" t="s">
        <v>491</v>
      </c>
      <c r="C12" s="254"/>
      <c r="D12" s="254">
        <v>819242</v>
      </c>
      <c r="E12" s="261"/>
      <c r="F12" s="262"/>
      <c r="G12" s="263"/>
      <c r="H12" s="264"/>
      <c r="I12" s="265"/>
      <c r="J12" s="264"/>
      <c r="K12" s="264"/>
      <c r="L12" s="265"/>
      <c r="M12" s="264"/>
      <c r="N12" s="246">
        <f t="shared" si="1"/>
        <v>819242</v>
      </c>
    </row>
    <row r="13" spans="1:14" ht="15">
      <c r="A13" s="260" t="s">
        <v>43</v>
      </c>
      <c r="B13" s="253" t="s">
        <v>44</v>
      </c>
      <c r="C13" s="254" t="e">
        <f>SUM(#REF!,C14+#REF!)</f>
        <v>#REF!</v>
      </c>
      <c r="D13" s="254">
        <f aca="true" t="shared" si="3" ref="D13:M13">SUM(D14)</f>
        <v>0</v>
      </c>
      <c r="E13" s="254">
        <f t="shared" si="3"/>
        <v>0</v>
      </c>
      <c r="F13" s="254">
        <f t="shared" si="3"/>
        <v>0</v>
      </c>
      <c r="G13" s="254">
        <f t="shared" si="3"/>
        <v>0</v>
      </c>
      <c r="H13" s="254">
        <f t="shared" si="3"/>
        <v>0</v>
      </c>
      <c r="I13" s="254">
        <f t="shared" si="3"/>
        <v>0</v>
      </c>
      <c r="J13" s="254">
        <f t="shared" si="3"/>
        <v>0</v>
      </c>
      <c r="K13" s="254">
        <f t="shared" si="3"/>
        <v>0</v>
      </c>
      <c r="L13" s="254">
        <f t="shared" si="3"/>
        <v>0</v>
      </c>
      <c r="M13" s="254">
        <f t="shared" si="3"/>
        <v>0</v>
      </c>
      <c r="N13" s="246">
        <f t="shared" si="1"/>
        <v>0</v>
      </c>
    </row>
    <row r="14" spans="1:14" ht="43.5">
      <c r="A14" s="260" t="s">
        <v>45</v>
      </c>
      <c r="B14" s="266" t="s">
        <v>229</v>
      </c>
      <c r="C14" s="255">
        <f>SUM(C16:C17)</f>
        <v>0</v>
      </c>
      <c r="D14" s="254">
        <f aca="true" t="shared" si="4" ref="D14:M14">SUM(D15:D17)</f>
        <v>0</v>
      </c>
      <c r="E14" s="254">
        <f t="shared" si="4"/>
        <v>0</v>
      </c>
      <c r="F14" s="254">
        <f t="shared" si="4"/>
        <v>0</v>
      </c>
      <c r="G14" s="254">
        <f t="shared" si="4"/>
        <v>0</v>
      </c>
      <c r="H14" s="254">
        <f t="shared" si="4"/>
        <v>0</v>
      </c>
      <c r="I14" s="254">
        <f t="shared" si="4"/>
        <v>0</v>
      </c>
      <c r="J14" s="254">
        <f t="shared" si="4"/>
        <v>0</v>
      </c>
      <c r="K14" s="254">
        <f t="shared" si="4"/>
        <v>0</v>
      </c>
      <c r="L14" s="254">
        <f t="shared" si="4"/>
        <v>0</v>
      </c>
      <c r="M14" s="254">
        <f t="shared" si="4"/>
        <v>0</v>
      </c>
      <c r="N14" s="246">
        <f t="shared" si="1"/>
        <v>0</v>
      </c>
    </row>
    <row r="15" spans="1:14" ht="45">
      <c r="A15" s="267" t="s">
        <v>163</v>
      </c>
      <c r="B15" s="249" t="s">
        <v>164</v>
      </c>
      <c r="C15" s="254"/>
      <c r="D15" s="268"/>
      <c r="E15" s="254"/>
      <c r="F15" s="254"/>
      <c r="G15" s="254"/>
      <c r="H15" s="254"/>
      <c r="I15" s="250"/>
      <c r="J15" s="254"/>
      <c r="K15" s="254"/>
      <c r="L15" s="254"/>
      <c r="M15" s="254"/>
      <c r="N15" s="251">
        <f t="shared" si="1"/>
        <v>0</v>
      </c>
    </row>
    <row r="16" spans="1:14" ht="15">
      <c r="A16" s="267" t="s">
        <v>46</v>
      </c>
      <c r="B16" s="249" t="s">
        <v>47</v>
      </c>
      <c r="C16" s="250"/>
      <c r="D16" s="250"/>
      <c r="E16" s="256"/>
      <c r="F16" s="256"/>
      <c r="G16" s="269"/>
      <c r="H16" s="258"/>
      <c r="I16" s="258"/>
      <c r="J16" s="258"/>
      <c r="K16" s="258"/>
      <c r="L16" s="258"/>
      <c r="M16" s="259"/>
      <c r="N16" s="251">
        <f t="shared" si="1"/>
        <v>0</v>
      </c>
    </row>
    <row r="17" spans="1:14" ht="30.75" thickBot="1">
      <c r="A17" s="270" t="s">
        <v>48</v>
      </c>
      <c r="B17" s="271" t="s">
        <v>49</v>
      </c>
      <c r="C17" s="272"/>
      <c r="D17" s="272"/>
      <c r="E17" s="273"/>
      <c r="F17" s="273"/>
      <c r="G17" s="274"/>
      <c r="H17" s="275"/>
      <c r="I17" s="275"/>
      <c r="J17" s="275"/>
      <c r="K17" s="275"/>
      <c r="L17" s="275"/>
      <c r="M17" s="276"/>
      <c r="N17" s="277">
        <f t="shared" si="1"/>
        <v>0</v>
      </c>
    </row>
    <row r="18" spans="1:14" ht="18.75" customHeight="1" thickBot="1">
      <c r="A18" s="278"/>
      <c r="B18" s="279" t="s">
        <v>50</v>
      </c>
      <c r="C18" s="280" t="e">
        <f>SUM(C7+C9+#REF!+#REF!+C13)</f>
        <v>#REF!</v>
      </c>
      <c r="D18" s="281">
        <f aca="true" t="shared" si="5" ref="D18:M18">SUM(D7+D9+D12+D13)</f>
        <v>899282</v>
      </c>
      <c r="E18" s="281">
        <f t="shared" si="5"/>
        <v>0</v>
      </c>
      <c r="F18" s="281">
        <f t="shared" si="5"/>
        <v>0</v>
      </c>
      <c r="G18" s="281">
        <f t="shared" si="5"/>
        <v>0</v>
      </c>
      <c r="H18" s="281">
        <f t="shared" si="5"/>
        <v>0</v>
      </c>
      <c r="I18" s="281">
        <f t="shared" si="5"/>
        <v>0</v>
      </c>
      <c r="J18" s="281">
        <f t="shared" si="5"/>
        <v>6000</v>
      </c>
      <c r="K18" s="281">
        <f t="shared" si="5"/>
        <v>0</v>
      </c>
      <c r="L18" s="281">
        <f t="shared" si="5"/>
        <v>0</v>
      </c>
      <c r="M18" s="281">
        <f t="shared" si="5"/>
        <v>0</v>
      </c>
      <c r="N18" s="282">
        <f t="shared" si="1"/>
        <v>905282</v>
      </c>
    </row>
    <row r="19" spans="1:14" ht="15">
      <c r="A19" s="283" t="s">
        <v>492</v>
      </c>
      <c r="B19" s="284" t="s">
        <v>418</v>
      </c>
      <c r="C19" s="285"/>
      <c r="D19" s="286">
        <v>55794</v>
      </c>
      <c r="E19" s="286"/>
      <c r="F19" s="286">
        <v>37132</v>
      </c>
      <c r="G19" s="286">
        <v>8991</v>
      </c>
      <c r="H19" s="286">
        <v>2229</v>
      </c>
      <c r="I19" s="286">
        <v>16998</v>
      </c>
      <c r="J19" s="286">
        <v>42564</v>
      </c>
      <c r="K19" s="286">
        <v>8853</v>
      </c>
      <c r="L19" s="286">
        <v>4342</v>
      </c>
      <c r="M19" s="286">
        <v>8101</v>
      </c>
      <c r="N19" s="251">
        <f t="shared" si="1"/>
        <v>185004</v>
      </c>
    </row>
    <row r="20" spans="1:14" ht="15">
      <c r="A20" s="287"/>
      <c r="B20" s="288" t="s">
        <v>53</v>
      </c>
      <c r="C20" s="289">
        <f>SUM(C19:C19)</f>
        <v>0</v>
      </c>
      <c r="D20" s="290">
        <f aca="true" t="shared" si="6" ref="D20:M20">SUM(D18:D19)</f>
        <v>955076</v>
      </c>
      <c r="E20" s="290">
        <f t="shared" si="6"/>
        <v>0</v>
      </c>
      <c r="F20" s="290">
        <f t="shared" si="6"/>
        <v>37132</v>
      </c>
      <c r="G20" s="290">
        <f t="shared" si="6"/>
        <v>8991</v>
      </c>
      <c r="H20" s="290">
        <f t="shared" si="6"/>
        <v>2229</v>
      </c>
      <c r="I20" s="290">
        <f t="shared" si="6"/>
        <v>16998</v>
      </c>
      <c r="J20" s="290">
        <f t="shared" si="6"/>
        <v>48564</v>
      </c>
      <c r="K20" s="290">
        <f t="shared" si="6"/>
        <v>8853</v>
      </c>
      <c r="L20" s="290">
        <f t="shared" si="6"/>
        <v>4342</v>
      </c>
      <c r="M20" s="290">
        <f t="shared" si="6"/>
        <v>8101</v>
      </c>
      <c r="N20" s="246">
        <f t="shared" si="1"/>
        <v>1090286</v>
      </c>
    </row>
    <row r="21" spans="2:7" ht="15">
      <c r="B21" s="291"/>
      <c r="C21" s="292"/>
      <c r="G21" s="293"/>
    </row>
    <row r="22" spans="2:7" ht="15">
      <c r="B22" s="291" t="s">
        <v>462</v>
      </c>
      <c r="C22" s="292" t="s">
        <v>23</v>
      </c>
      <c r="G22" s="293" t="s">
        <v>23</v>
      </c>
    </row>
    <row r="23" spans="1:7" ht="48" customHeight="1" thickBot="1">
      <c r="A23" s="294" t="s">
        <v>493</v>
      </c>
      <c r="B23" s="294"/>
      <c r="C23" s="294"/>
      <c r="D23" s="294"/>
      <c r="E23" s="294"/>
      <c r="F23" s="294"/>
      <c r="G23" s="294"/>
    </row>
    <row r="24" spans="1:14" ht="111" thickBot="1">
      <c r="A24" s="234" t="s">
        <v>10</v>
      </c>
      <c r="B24" s="235" t="s">
        <v>9</v>
      </c>
      <c r="C24" s="236" t="s">
        <v>483</v>
      </c>
      <c r="D24" s="295" t="s">
        <v>405</v>
      </c>
      <c r="E24" s="296" t="s">
        <v>406</v>
      </c>
      <c r="F24" s="297" t="s">
        <v>408</v>
      </c>
      <c r="G24" s="297" t="s">
        <v>409</v>
      </c>
      <c r="H24" s="240" t="s">
        <v>410</v>
      </c>
      <c r="I24" s="240" t="s">
        <v>411</v>
      </c>
      <c r="J24" s="240" t="s">
        <v>412</v>
      </c>
      <c r="K24" s="240" t="s">
        <v>413</v>
      </c>
      <c r="L24" s="240" t="s">
        <v>414</v>
      </c>
      <c r="M24" s="241" t="s">
        <v>415</v>
      </c>
      <c r="N24" s="242" t="s">
        <v>416</v>
      </c>
    </row>
    <row r="25" spans="1:14" ht="15.75" thickBot="1">
      <c r="A25" s="298" t="s">
        <v>1</v>
      </c>
      <c r="B25" s="299" t="s">
        <v>68</v>
      </c>
      <c r="C25" s="300">
        <f aca="true" t="shared" si="7" ref="C25:M25">SUM(C26:C28)</f>
        <v>260450</v>
      </c>
      <c r="D25" s="300">
        <f t="shared" si="7"/>
        <v>200844</v>
      </c>
      <c r="E25" s="300">
        <f t="shared" si="7"/>
        <v>272009</v>
      </c>
      <c r="F25" s="300">
        <f t="shared" si="7"/>
        <v>70832</v>
      </c>
      <c r="G25" s="300">
        <f t="shared" si="7"/>
        <v>38699</v>
      </c>
      <c r="H25" s="300">
        <f t="shared" si="7"/>
        <v>50550</v>
      </c>
      <c r="I25" s="300">
        <f t="shared" si="7"/>
        <v>61476</v>
      </c>
      <c r="J25" s="300">
        <f t="shared" si="7"/>
        <v>23214</v>
      </c>
      <c r="K25" s="300">
        <f t="shared" si="7"/>
        <v>46565</v>
      </c>
      <c r="L25" s="300">
        <f t="shared" si="7"/>
        <v>30863</v>
      </c>
      <c r="M25" s="300">
        <f t="shared" si="7"/>
        <v>38871</v>
      </c>
      <c r="N25" s="282">
        <f aca="true" t="shared" si="8" ref="N25:N40">SUM(D25:M25)</f>
        <v>833923</v>
      </c>
    </row>
    <row r="26" spans="1:14" ht="15">
      <c r="A26" s="301" t="s">
        <v>494</v>
      </c>
      <c r="B26" s="249" t="s">
        <v>495</v>
      </c>
      <c r="C26" s="302"/>
      <c r="D26" s="302"/>
      <c r="E26" s="302"/>
      <c r="F26" s="302"/>
      <c r="G26" s="302"/>
      <c r="H26" s="302"/>
      <c r="I26" s="302"/>
      <c r="J26" s="302">
        <v>8214</v>
      </c>
      <c r="K26" s="303"/>
      <c r="L26" s="304"/>
      <c r="M26" s="305"/>
      <c r="N26" s="306">
        <f t="shared" si="8"/>
        <v>8214</v>
      </c>
    </row>
    <row r="27" spans="1:14" ht="15">
      <c r="A27" s="307" t="s">
        <v>496</v>
      </c>
      <c r="B27" s="249" t="s">
        <v>497</v>
      </c>
      <c r="C27" s="308">
        <v>260450</v>
      </c>
      <c r="D27" s="308">
        <v>200844</v>
      </c>
      <c r="E27" s="308">
        <v>272009</v>
      </c>
      <c r="F27" s="308">
        <v>70832</v>
      </c>
      <c r="G27" s="308">
        <v>38699</v>
      </c>
      <c r="H27" s="308">
        <v>50550</v>
      </c>
      <c r="I27" s="308">
        <v>61476</v>
      </c>
      <c r="J27" s="308">
        <v>15000</v>
      </c>
      <c r="K27" s="250">
        <v>46565</v>
      </c>
      <c r="L27" s="309">
        <v>30863</v>
      </c>
      <c r="M27" s="310">
        <v>38871</v>
      </c>
      <c r="N27" s="311">
        <f t="shared" si="8"/>
        <v>825709</v>
      </c>
    </row>
    <row r="28" spans="1:14" ht="15.75" thickBot="1">
      <c r="A28" s="312" t="s">
        <v>498</v>
      </c>
      <c r="B28" s="313" t="s">
        <v>499</v>
      </c>
      <c r="C28" s="314"/>
      <c r="D28" s="314"/>
      <c r="E28" s="314"/>
      <c r="F28" s="314"/>
      <c r="G28" s="314"/>
      <c r="H28" s="314"/>
      <c r="I28" s="314"/>
      <c r="J28" s="314"/>
      <c r="K28" s="315"/>
      <c r="L28" s="316"/>
      <c r="M28" s="317"/>
      <c r="N28" s="277">
        <f t="shared" si="8"/>
        <v>0</v>
      </c>
    </row>
    <row r="29" spans="1:14" ht="15.75" thickBot="1">
      <c r="A29" s="298" t="s">
        <v>18</v>
      </c>
      <c r="B29" s="318" t="s">
        <v>81</v>
      </c>
      <c r="C29" s="300">
        <f aca="true" t="shared" si="9" ref="C29:M29">SUM(C30:C33)</f>
        <v>52674</v>
      </c>
      <c r="D29" s="300">
        <f t="shared" si="9"/>
        <v>23398</v>
      </c>
      <c r="E29" s="300">
        <f t="shared" si="9"/>
        <v>36694</v>
      </c>
      <c r="F29" s="300">
        <f t="shared" si="9"/>
        <v>16186</v>
      </c>
      <c r="G29" s="300">
        <f t="shared" si="9"/>
        <v>0</v>
      </c>
      <c r="H29" s="300">
        <f t="shared" si="9"/>
        <v>3104</v>
      </c>
      <c r="I29" s="300">
        <f t="shared" si="9"/>
        <v>27122</v>
      </c>
      <c r="J29" s="300">
        <f t="shared" si="9"/>
        <v>0</v>
      </c>
      <c r="K29" s="300">
        <f t="shared" si="9"/>
        <v>746</v>
      </c>
      <c r="L29" s="300">
        <f t="shared" si="9"/>
        <v>0</v>
      </c>
      <c r="M29" s="300">
        <f t="shared" si="9"/>
        <v>5000</v>
      </c>
      <c r="N29" s="282">
        <f t="shared" si="8"/>
        <v>112250</v>
      </c>
    </row>
    <row r="30" spans="1:14" ht="15">
      <c r="A30" s="301" t="s">
        <v>82</v>
      </c>
      <c r="B30" s="319" t="s">
        <v>83</v>
      </c>
      <c r="C30" s="302"/>
      <c r="D30" s="302"/>
      <c r="E30" s="302"/>
      <c r="F30" s="302"/>
      <c r="G30" s="302"/>
      <c r="H30" s="302"/>
      <c r="I30" s="302"/>
      <c r="J30" s="302"/>
      <c r="K30" s="303"/>
      <c r="L30" s="320"/>
      <c r="M30" s="305"/>
      <c r="N30" s="311">
        <f t="shared" si="8"/>
        <v>0</v>
      </c>
    </row>
    <row r="31" spans="1:14" ht="15">
      <c r="A31" s="307" t="s">
        <v>2</v>
      </c>
      <c r="B31" s="321" t="s">
        <v>84</v>
      </c>
      <c r="C31" s="308">
        <v>48139</v>
      </c>
      <c r="D31" s="308">
        <v>17233</v>
      </c>
      <c r="E31" s="308">
        <v>36694</v>
      </c>
      <c r="F31" s="308"/>
      <c r="G31" s="308"/>
      <c r="H31" s="308"/>
      <c r="I31" s="308"/>
      <c r="J31" s="308"/>
      <c r="K31" s="250"/>
      <c r="L31" s="250"/>
      <c r="M31" s="310"/>
      <c r="N31" s="311">
        <f t="shared" si="8"/>
        <v>53927</v>
      </c>
    </row>
    <row r="32" spans="1:14" ht="15">
      <c r="A32" s="307" t="s">
        <v>258</v>
      </c>
      <c r="B32" s="321" t="s">
        <v>259</v>
      </c>
      <c r="C32" s="308"/>
      <c r="D32" s="308"/>
      <c r="E32" s="308"/>
      <c r="F32" s="308">
        <v>16186</v>
      </c>
      <c r="G32" s="308"/>
      <c r="H32" s="308">
        <v>3104</v>
      </c>
      <c r="I32" s="308">
        <v>27122</v>
      </c>
      <c r="J32" s="308"/>
      <c r="K32" s="250">
        <v>746</v>
      </c>
      <c r="L32" s="250"/>
      <c r="M32" s="310">
        <v>5000</v>
      </c>
      <c r="N32" s="311">
        <f t="shared" si="8"/>
        <v>52158</v>
      </c>
    </row>
    <row r="33" spans="1:14" ht="15.75" thickBot="1">
      <c r="A33" s="312" t="s">
        <v>261</v>
      </c>
      <c r="B33" s="322" t="s">
        <v>262</v>
      </c>
      <c r="C33" s="314">
        <v>4535</v>
      </c>
      <c r="D33" s="314">
        <v>6165</v>
      </c>
      <c r="E33" s="314"/>
      <c r="F33" s="314"/>
      <c r="G33" s="314"/>
      <c r="H33" s="314"/>
      <c r="I33" s="314"/>
      <c r="J33" s="314"/>
      <c r="K33" s="315"/>
      <c r="L33" s="250"/>
      <c r="M33" s="317"/>
      <c r="N33" s="311">
        <f t="shared" si="8"/>
        <v>6165</v>
      </c>
    </row>
    <row r="34" spans="1:14" ht="30" thickBot="1">
      <c r="A34" s="323" t="s">
        <v>3</v>
      </c>
      <c r="B34" s="324" t="s">
        <v>86</v>
      </c>
      <c r="C34" s="325">
        <f aca="true" t="shared" si="10" ref="C34:M34">SUM(C35:C37)</f>
        <v>0</v>
      </c>
      <c r="D34" s="325">
        <f t="shared" si="10"/>
        <v>0</v>
      </c>
      <c r="E34" s="325">
        <f t="shared" si="10"/>
        <v>0</v>
      </c>
      <c r="F34" s="325">
        <f t="shared" si="10"/>
        <v>6892</v>
      </c>
      <c r="G34" s="325">
        <f t="shared" si="10"/>
        <v>6725</v>
      </c>
      <c r="H34" s="325">
        <f t="shared" si="10"/>
        <v>0</v>
      </c>
      <c r="I34" s="325">
        <f t="shared" si="10"/>
        <v>3833</v>
      </c>
      <c r="J34" s="325">
        <f t="shared" si="10"/>
        <v>0</v>
      </c>
      <c r="K34" s="326">
        <f t="shared" si="10"/>
        <v>0</v>
      </c>
      <c r="L34" s="326">
        <f t="shared" si="10"/>
        <v>0</v>
      </c>
      <c r="M34" s="327">
        <f t="shared" si="10"/>
        <v>0</v>
      </c>
      <c r="N34" s="328">
        <f t="shared" si="8"/>
        <v>17450</v>
      </c>
    </row>
    <row r="35" spans="1:14" ht="15">
      <c r="A35" s="329" t="s">
        <v>88</v>
      </c>
      <c r="B35" s="330" t="s">
        <v>89</v>
      </c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05"/>
      <c r="N35" s="331">
        <f t="shared" si="8"/>
        <v>0</v>
      </c>
    </row>
    <row r="36" spans="1:14" ht="15">
      <c r="A36" s="307" t="s">
        <v>90</v>
      </c>
      <c r="B36" s="321" t="s">
        <v>91</v>
      </c>
      <c r="C36" s="308"/>
      <c r="D36" s="308"/>
      <c r="E36" s="308"/>
      <c r="F36" s="308"/>
      <c r="G36" s="308"/>
      <c r="H36" s="308"/>
      <c r="I36" s="308">
        <v>3833</v>
      </c>
      <c r="J36" s="308"/>
      <c r="K36" s="250"/>
      <c r="L36" s="250"/>
      <c r="M36" s="310"/>
      <c r="N36" s="311">
        <f t="shared" si="8"/>
        <v>3833</v>
      </c>
    </row>
    <row r="37" spans="1:14" ht="30.75" thickBot="1">
      <c r="A37" s="332" t="s">
        <v>92</v>
      </c>
      <c r="B37" s="333" t="s">
        <v>93</v>
      </c>
      <c r="C37" s="314"/>
      <c r="D37" s="314"/>
      <c r="E37" s="314"/>
      <c r="F37" s="314">
        <v>6892</v>
      </c>
      <c r="G37" s="314">
        <v>6725</v>
      </c>
      <c r="H37" s="314"/>
      <c r="I37" s="314"/>
      <c r="J37" s="314"/>
      <c r="K37" s="315"/>
      <c r="L37" s="334"/>
      <c r="M37" s="317"/>
      <c r="N37" s="311">
        <f t="shared" si="8"/>
        <v>13617</v>
      </c>
    </row>
    <row r="38" spans="1:14" ht="15.75" thickBot="1">
      <c r="A38" s="335"/>
      <c r="B38" s="336" t="s">
        <v>21</v>
      </c>
      <c r="C38" s="300">
        <f aca="true" t="shared" si="11" ref="C38:M38">C25+C29+C34</f>
        <v>313124</v>
      </c>
      <c r="D38" s="300">
        <f t="shared" si="11"/>
        <v>224242</v>
      </c>
      <c r="E38" s="300">
        <f t="shared" si="11"/>
        <v>308703</v>
      </c>
      <c r="F38" s="300">
        <f t="shared" si="11"/>
        <v>93910</v>
      </c>
      <c r="G38" s="300">
        <f t="shared" si="11"/>
        <v>45424</v>
      </c>
      <c r="H38" s="300">
        <f t="shared" si="11"/>
        <v>53654</v>
      </c>
      <c r="I38" s="300">
        <f t="shared" si="11"/>
        <v>92431</v>
      </c>
      <c r="J38" s="300">
        <f t="shared" si="11"/>
        <v>23214</v>
      </c>
      <c r="K38" s="300">
        <f t="shared" si="11"/>
        <v>47311</v>
      </c>
      <c r="L38" s="300">
        <f t="shared" si="11"/>
        <v>30863</v>
      </c>
      <c r="M38" s="300">
        <f t="shared" si="11"/>
        <v>43871</v>
      </c>
      <c r="N38" s="282">
        <f t="shared" si="8"/>
        <v>963623</v>
      </c>
    </row>
    <row r="39" spans="1:14" ht="15">
      <c r="A39" s="337" t="s">
        <v>479</v>
      </c>
      <c r="B39" s="338" t="s">
        <v>22</v>
      </c>
      <c r="C39" s="339"/>
      <c r="D39" s="340"/>
      <c r="F39" s="341"/>
      <c r="N39" s="342">
        <f t="shared" si="8"/>
        <v>0</v>
      </c>
    </row>
    <row r="40" spans="1:14" ht="15">
      <c r="A40" s="226" t="s">
        <v>492</v>
      </c>
      <c r="B40" s="343" t="s">
        <v>500</v>
      </c>
      <c r="C40" s="344" t="str">
        <f>'[1]Budžets'!$H$436</f>
        <v>S.Velberga</v>
      </c>
      <c r="D40" s="292">
        <v>52490</v>
      </c>
      <c r="F40" s="226">
        <v>2574</v>
      </c>
      <c r="G40" s="232"/>
      <c r="J40" s="226">
        <v>51666</v>
      </c>
      <c r="K40" s="226">
        <v>6000</v>
      </c>
      <c r="L40" s="226">
        <v>3779</v>
      </c>
      <c r="M40" s="226">
        <v>10154</v>
      </c>
      <c r="N40" s="342">
        <f t="shared" si="8"/>
        <v>126663</v>
      </c>
    </row>
    <row r="41" spans="2:14" ht="15">
      <c r="B41" s="343"/>
      <c r="C41" s="344"/>
      <c r="D41" s="292"/>
      <c r="N41" s="342"/>
    </row>
    <row r="42" spans="1:14" ht="30">
      <c r="A42" s="345" t="s">
        <v>336</v>
      </c>
      <c r="B42" s="346" t="s">
        <v>337</v>
      </c>
      <c r="C42" s="339"/>
      <c r="D42" s="347">
        <f aca="true" t="shared" si="12" ref="D42:N42">D20-D38-D39-D40</f>
        <v>678344</v>
      </c>
      <c r="E42" s="348">
        <f t="shared" si="12"/>
        <v>-308703</v>
      </c>
      <c r="F42" s="347">
        <f t="shared" si="12"/>
        <v>-59352</v>
      </c>
      <c r="G42" s="347">
        <f t="shared" si="12"/>
        <v>-36433</v>
      </c>
      <c r="H42" s="347">
        <f t="shared" si="12"/>
        <v>-51425</v>
      </c>
      <c r="I42" s="347">
        <f t="shared" si="12"/>
        <v>-75433</v>
      </c>
      <c r="J42" s="347">
        <f t="shared" si="12"/>
        <v>-26316</v>
      </c>
      <c r="K42" s="347">
        <f t="shared" si="12"/>
        <v>-44458</v>
      </c>
      <c r="L42" s="347">
        <f t="shared" si="12"/>
        <v>-30300</v>
      </c>
      <c r="M42" s="347">
        <f t="shared" si="12"/>
        <v>-45924</v>
      </c>
      <c r="N42" s="347">
        <f t="shared" si="12"/>
        <v>0</v>
      </c>
    </row>
    <row r="43" spans="2:7" ht="15">
      <c r="B43" s="291" t="s">
        <v>462</v>
      </c>
      <c r="C43" s="292" t="s">
        <v>23</v>
      </c>
      <c r="G43" s="293" t="s">
        <v>23</v>
      </c>
    </row>
    <row r="44" spans="2:3" ht="15">
      <c r="B44" s="291"/>
      <c r="C44" s="292"/>
    </row>
    <row r="45" spans="1:8" ht="66" customHeight="1" thickBot="1">
      <c r="A45" s="349" t="s">
        <v>453</v>
      </c>
      <c r="B45" s="349"/>
      <c r="C45" s="349"/>
      <c r="D45" s="349"/>
      <c r="E45" s="349"/>
      <c r="F45" s="349"/>
      <c r="G45" s="349"/>
      <c r="H45" s="349"/>
    </row>
    <row r="46" spans="1:14" ht="111" thickBot="1">
      <c r="A46" s="234" t="s">
        <v>10</v>
      </c>
      <c r="B46" s="235" t="s">
        <v>9</v>
      </c>
      <c r="C46" s="236" t="s">
        <v>483</v>
      </c>
      <c r="D46" s="237" t="s">
        <v>405</v>
      </c>
      <c r="E46" s="182" t="s">
        <v>406</v>
      </c>
      <c r="F46" s="238" t="s">
        <v>408</v>
      </c>
      <c r="G46" s="297" t="s">
        <v>409</v>
      </c>
      <c r="H46" s="240" t="s">
        <v>410</v>
      </c>
      <c r="I46" s="240" t="s">
        <v>411</v>
      </c>
      <c r="J46" s="240" t="s">
        <v>412</v>
      </c>
      <c r="K46" s="240" t="s">
        <v>413</v>
      </c>
      <c r="L46" s="240" t="s">
        <v>414</v>
      </c>
      <c r="M46" s="241" t="s">
        <v>415</v>
      </c>
      <c r="N46" s="242" t="s">
        <v>416</v>
      </c>
    </row>
    <row r="47" spans="1:14" ht="15">
      <c r="A47" s="350">
        <v>1100</v>
      </c>
      <c r="B47" s="351" t="s">
        <v>501</v>
      </c>
      <c r="C47" s="352" t="e">
        <f>SUM(#REF!+#REF!+#REF!+#REF!)</f>
        <v>#REF!</v>
      </c>
      <c r="D47" s="353">
        <v>3601</v>
      </c>
      <c r="E47" s="353"/>
      <c r="F47" s="353">
        <v>9728</v>
      </c>
      <c r="G47" s="353">
        <v>1500</v>
      </c>
      <c r="H47" s="353">
        <v>11899</v>
      </c>
      <c r="I47" s="353">
        <v>12002</v>
      </c>
      <c r="J47" s="353"/>
      <c r="K47" s="353">
        <v>8582</v>
      </c>
      <c r="L47" s="353">
        <v>6200</v>
      </c>
      <c r="M47" s="354">
        <v>11128</v>
      </c>
      <c r="N47" s="328">
        <f>SUM(D47:M47)</f>
        <v>64640</v>
      </c>
    </row>
    <row r="48" spans="1:14" ht="47.25" customHeight="1" thickBot="1">
      <c r="A48" s="355">
        <v>1200</v>
      </c>
      <c r="B48" s="356" t="s">
        <v>502</v>
      </c>
      <c r="C48" s="357" t="e">
        <f>SUM(#REF!+#REF!)</f>
        <v>#REF!</v>
      </c>
      <c r="D48" s="358">
        <v>849</v>
      </c>
      <c r="E48" s="358"/>
      <c r="F48" s="358">
        <v>2295</v>
      </c>
      <c r="G48" s="358">
        <v>354</v>
      </c>
      <c r="H48" s="358">
        <v>3184</v>
      </c>
      <c r="I48" s="358">
        <v>3446</v>
      </c>
      <c r="J48" s="358"/>
      <c r="K48" s="358">
        <v>2025</v>
      </c>
      <c r="L48" s="358">
        <v>1663</v>
      </c>
      <c r="M48" s="359">
        <v>3348</v>
      </c>
      <c r="N48" s="360">
        <f>SUM(D48:M48)</f>
        <v>17164</v>
      </c>
    </row>
    <row r="49" spans="1:14" ht="15.75" thickBot="1">
      <c r="A49" s="361">
        <v>2000</v>
      </c>
      <c r="B49" s="362" t="s">
        <v>200</v>
      </c>
      <c r="C49" s="363" t="e">
        <f>SUM(#REF!+C50+C51+C52+C53)</f>
        <v>#REF!</v>
      </c>
      <c r="D49" s="364">
        <f aca="true" t="shared" si="13" ref="D49:J49">SUM(D50+D51+D52+D53)</f>
        <v>217792</v>
      </c>
      <c r="E49" s="364">
        <f t="shared" si="13"/>
        <v>289205</v>
      </c>
      <c r="F49" s="364">
        <f t="shared" si="13"/>
        <v>75895</v>
      </c>
      <c r="G49" s="364">
        <f t="shared" si="13"/>
        <v>36022</v>
      </c>
      <c r="H49" s="364">
        <f t="shared" si="13"/>
        <v>37071</v>
      </c>
      <c r="I49" s="364">
        <f t="shared" si="13"/>
        <v>52514</v>
      </c>
      <c r="J49" s="364">
        <f t="shared" si="13"/>
        <v>23214</v>
      </c>
      <c r="K49" s="364">
        <f>K50+K51+K52+K53</f>
        <v>28344</v>
      </c>
      <c r="L49" s="364">
        <f>SUM(L50+L51+L52+L53)</f>
        <v>23000</v>
      </c>
      <c r="M49" s="300">
        <f>SUM(M50+M51+M52+M53)</f>
        <v>25395</v>
      </c>
      <c r="N49" s="282">
        <f>SUM(N50:N53)</f>
        <v>808452</v>
      </c>
    </row>
    <row r="50" spans="1:14" ht="15">
      <c r="A50" s="365">
        <v>2200</v>
      </c>
      <c r="B50" s="366" t="s">
        <v>201</v>
      </c>
      <c r="C50" s="367" t="e">
        <f>SUM(#REF!+#REF!+#REF!+#REF!+#REF!+#REF!+#REF!+#REF!)</f>
        <v>#REF!</v>
      </c>
      <c r="D50" s="368">
        <v>217792</v>
      </c>
      <c r="E50" s="245">
        <v>288455</v>
      </c>
      <c r="F50" s="368">
        <v>53986</v>
      </c>
      <c r="G50" s="368">
        <v>33822</v>
      </c>
      <c r="H50" s="368">
        <v>21796</v>
      </c>
      <c r="I50" s="368">
        <v>33922</v>
      </c>
      <c r="J50" s="368">
        <v>22000</v>
      </c>
      <c r="K50" s="245">
        <v>24564</v>
      </c>
      <c r="L50" s="368">
        <v>9000</v>
      </c>
      <c r="M50" s="369">
        <v>9695</v>
      </c>
      <c r="N50" s="246">
        <f aca="true" t="shared" si="14" ref="N50:N57">SUM(D50:M50)</f>
        <v>715032</v>
      </c>
    </row>
    <row r="51" spans="1:14" ht="43.5">
      <c r="A51" s="370">
        <v>2300</v>
      </c>
      <c r="B51" s="371" t="s">
        <v>202</v>
      </c>
      <c r="C51" s="372" t="e">
        <f>SUM(#REF!+#REF!+#REF!+#REF!+#REF!+#REF!+#REF!+#REF!)</f>
        <v>#REF!</v>
      </c>
      <c r="D51" s="254"/>
      <c r="E51" s="254">
        <v>750</v>
      </c>
      <c r="F51" s="254">
        <v>21909</v>
      </c>
      <c r="G51" s="254">
        <v>2200</v>
      </c>
      <c r="H51" s="254">
        <v>15275</v>
      </c>
      <c r="I51" s="254">
        <v>17375</v>
      </c>
      <c r="J51" s="254">
        <v>1214</v>
      </c>
      <c r="K51" s="254">
        <v>3780</v>
      </c>
      <c r="L51" s="254">
        <v>14000</v>
      </c>
      <c r="M51" s="255">
        <v>15700</v>
      </c>
      <c r="N51" s="373">
        <f t="shared" si="14"/>
        <v>92203</v>
      </c>
    </row>
    <row r="52" spans="1:14" ht="15">
      <c r="A52" s="370">
        <v>2400</v>
      </c>
      <c r="B52" s="371" t="s">
        <v>203</v>
      </c>
      <c r="C52" s="372" t="e">
        <f>SUM(#REF!)</f>
        <v>#REF!</v>
      </c>
      <c r="D52" s="254"/>
      <c r="E52" s="254"/>
      <c r="F52" s="254"/>
      <c r="G52" s="254"/>
      <c r="H52" s="254"/>
      <c r="I52" s="254"/>
      <c r="J52" s="254"/>
      <c r="K52" s="254"/>
      <c r="L52" s="254"/>
      <c r="M52" s="255"/>
      <c r="N52" s="374">
        <f t="shared" si="14"/>
        <v>0</v>
      </c>
    </row>
    <row r="53" spans="1:14" ht="15">
      <c r="A53" s="370">
        <v>2500</v>
      </c>
      <c r="B53" s="371" t="s">
        <v>204</v>
      </c>
      <c r="C53" s="372" t="e">
        <f>SUM(#REF!)</f>
        <v>#REF!</v>
      </c>
      <c r="D53" s="254"/>
      <c r="E53" s="254"/>
      <c r="F53" s="254"/>
      <c r="G53" s="254"/>
      <c r="H53" s="254"/>
      <c r="I53" s="254">
        <v>1217</v>
      </c>
      <c r="J53" s="254"/>
      <c r="K53" s="254"/>
      <c r="L53" s="254"/>
      <c r="M53" s="255"/>
      <c r="N53" s="374">
        <f t="shared" si="14"/>
        <v>1217</v>
      </c>
    </row>
    <row r="54" spans="1:14" ht="29.25">
      <c r="A54" s="370">
        <v>3200</v>
      </c>
      <c r="B54" s="371" t="s">
        <v>503</v>
      </c>
      <c r="C54" s="372" t="e">
        <f>SUM(#REF!)</f>
        <v>#REF!</v>
      </c>
      <c r="D54" s="254">
        <v>2000</v>
      </c>
      <c r="E54" s="254"/>
      <c r="F54" s="254"/>
      <c r="G54" s="254"/>
      <c r="H54" s="254"/>
      <c r="I54" s="254"/>
      <c r="J54" s="254"/>
      <c r="K54" s="254"/>
      <c r="L54" s="254"/>
      <c r="M54" s="255"/>
      <c r="N54" s="374">
        <f t="shared" si="14"/>
        <v>2000</v>
      </c>
    </row>
    <row r="55" spans="1:14" ht="15">
      <c r="A55" s="370">
        <v>5100</v>
      </c>
      <c r="B55" s="371" t="s">
        <v>138</v>
      </c>
      <c r="C55" s="372" t="e">
        <f>SUM(#REF!+#REF!)</f>
        <v>#REF!</v>
      </c>
      <c r="D55" s="254"/>
      <c r="E55" s="254"/>
      <c r="F55" s="254"/>
      <c r="G55" s="254"/>
      <c r="H55" s="254"/>
      <c r="I55" s="254"/>
      <c r="J55" s="254"/>
      <c r="K55" s="254"/>
      <c r="L55" s="254"/>
      <c r="M55" s="255"/>
      <c r="N55" s="374">
        <f t="shared" si="14"/>
        <v>0</v>
      </c>
    </row>
    <row r="56" spans="1:14" ht="15">
      <c r="A56" s="370">
        <v>5200</v>
      </c>
      <c r="B56" s="371" t="s">
        <v>207</v>
      </c>
      <c r="C56" s="372" t="e">
        <f>SUM(#REF!+#REF!+#REF!+#REF!)</f>
        <v>#REF!</v>
      </c>
      <c r="D56" s="254"/>
      <c r="E56" s="254">
        <v>19498</v>
      </c>
      <c r="F56" s="254">
        <v>5992</v>
      </c>
      <c r="G56" s="254">
        <v>7548</v>
      </c>
      <c r="H56" s="254">
        <v>1500</v>
      </c>
      <c r="I56" s="254">
        <v>24469</v>
      </c>
      <c r="J56" s="254"/>
      <c r="K56" s="254">
        <v>8360</v>
      </c>
      <c r="L56" s="254"/>
      <c r="M56" s="255">
        <v>4000</v>
      </c>
      <c r="N56" s="374">
        <f t="shared" si="14"/>
        <v>71367</v>
      </c>
    </row>
    <row r="57" spans="1:14" ht="30.75" customHeight="1" thickBot="1">
      <c r="A57" s="370">
        <v>7200</v>
      </c>
      <c r="B57" s="375" t="s">
        <v>504</v>
      </c>
      <c r="C57" s="376"/>
      <c r="D57" s="377"/>
      <c r="E57" s="378"/>
      <c r="F57" s="378"/>
      <c r="G57" s="378"/>
      <c r="H57" s="378"/>
      <c r="I57" s="378"/>
      <c r="J57" s="378"/>
      <c r="K57" s="378"/>
      <c r="L57" s="378"/>
      <c r="M57" s="379"/>
      <c r="N57" s="374">
        <f t="shared" si="14"/>
        <v>0</v>
      </c>
    </row>
    <row r="58" spans="1:14" ht="15.75" thickBot="1">
      <c r="A58" s="380"/>
      <c r="B58" s="381" t="s">
        <v>210</v>
      </c>
      <c r="C58" s="363" t="e">
        <f>SUM(C47+C48+C49+C54+#REF!+#REF!+#REF!+C55+C56+#REF!+#REF!+#REF!+#REF!)</f>
        <v>#REF!</v>
      </c>
      <c r="D58" s="364">
        <f aca="true" t="shared" si="15" ref="D58:N58">SUM(D47:D49,D54:D57)</f>
        <v>224242</v>
      </c>
      <c r="E58" s="364">
        <f t="shared" si="15"/>
        <v>308703</v>
      </c>
      <c r="F58" s="364">
        <f t="shared" si="15"/>
        <v>93910</v>
      </c>
      <c r="G58" s="364">
        <f t="shared" si="15"/>
        <v>45424</v>
      </c>
      <c r="H58" s="364">
        <f t="shared" si="15"/>
        <v>53654</v>
      </c>
      <c r="I58" s="364">
        <f t="shared" si="15"/>
        <v>92431</v>
      </c>
      <c r="J58" s="364">
        <f t="shared" si="15"/>
        <v>23214</v>
      </c>
      <c r="K58" s="364">
        <f t="shared" si="15"/>
        <v>47311</v>
      </c>
      <c r="L58" s="364">
        <f t="shared" si="15"/>
        <v>30863</v>
      </c>
      <c r="M58" s="300">
        <f t="shared" si="15"/>
        <v>43871</v>
      </c>
      <c r="N58" s="282">
        <f t="shared" si="15"/>
        <v>963623</v>
      </c>
    </row>
    <row r="59" ht="15">
      <c r="B59" s="226"/>
    </row>
    <row r="60" spans="1:6" ht="15">
      <c r="A60" s="341"/>
      <c r="B60" s="382"/>
      <c r="C60" s="339"/>
      <c r="D60" s="340"/>
      <c r="E60" s="340"/>
      <c r="F60" s="341"/>
    </row>
    <row r="61" spans="1:6" ht="15">
      <c r="A61" s="341"/>
      <c r="B61" s="382"/>
      <c r="C61" s="339"/>
      <c r="D61" s="340"/>
      <c r="E61" s="340"/>
      <c r="F61" s="341"/>
    </row>
    <row r="62" spans="1:6" ht="15">
      <c r="A62" s="341"/>
      <c r="B62" s="382"/>
      <c r="C62" s="339"/>
      <c r="D62" s="340"/>
      <c r="E62" s="340"/>
      <c r="F62" s="341"/>
    </row>
    <row r="63" spans="1:7" ht="15">
      <c r="A63" s="341"/>
      <c r="B63" s="291" t="s">
        <v>462</v>
      </c>
      <c r="C63" s="339"/>
      <c r="D63" s="340"/>
      <c r="E63" s="340"/>
      <c r="F63" s="341"/>
      <c r="G63" s="293" t="s">
        <v>23</v>
      </c>
    </row>
    <row r="64" ht="15">
      <c r="C64" s="383"/>
    </row>
    <row r="65" ht="15">
      <c r="C65" s="383"/>
    </row>
    <row r="66" ht="15">
      <c r="C66" s="383"/>
    </row>
    <row r="67" ht="15">
      <c r="C67" s="383"/>
    </row>
    <row r="68" ht="15">
      <c r="C68" s="383"/>
    </row>
    <row r="69" ht="15">
      <c r="C69" s="383"/>
    </row>
    <row r="70" spans="1:5" ht="20.25">
      <c r="A70" s="384"/>
      <c r="B70" s="384"/>
      <c r="C70" s="384"/>
      <c r="D70" s="384"/>
      <c r="E70" s="385"/>
    </row>
    <row r="71" spans="1:5" ht="15">
      <c r="A71" s="230"/>
      <c r="B71" s="233"/>
      <c r="C71" s="230"/>
      <c r="D71" s="230"/>
      <c r="E71" s="230"/>
    </row>
    <row r="72" spans="1:6" ht="15">
      <c r="A72" s="386"/>
      <c r="B72" s="387"/>
      <c r="C72" s="388"/>
      <c r="D72" s="389"/>
      <c r="E72" s="389"/>
      <c r="F72" s="247"/>
    </row>
    <row r="73" spans="1:5" ht="15">
      <c r="A73" s="386"/>
      <c r="B73" s="387"/>
      <c r="C73" s="390"/>
      <c r="D73" s="390"/>
      <c r="E73" s="390"/>
    </row>
    <row r="74" spans="2:3" ht="15">
      <c r="B74" s="291"/>
      <c r="C74" s="292"/>
    </row>
    <row r="75" spans="2:3" ht="15">
      <c r="B75" s="291"/>
      <c r="C75" s="292"/>
    </row>
    <row r="76" spans="2:3" ht="15">
      <c r="B76" s="291"/>
      <c r="C76" s="292"/>
    </row>
    <row r="77" spans="1:3" ht="15">
      <c r="A77" s="386"/>
      <c r="B77" s="387"/>
      <c r="C77" s="390"/>
    </row>
    <row r="78" spans="1:3" ht="15">
      <c r="A78" s="386"/>
      <c r="B78" s="387"/>
      <c r="C78" s="230" t="s">
        <v>12</v>
      </c>
    </row>
    <row r="79" spans="1:3" ht="15">
      <c r="A79" s="391"/>
      <c r="B79" s="392"/>
      <c r="C79" s="230" t="s">
        <v>505</v>
      </c>
    </row>
    <row r="80" ht="15">
      <c r="C80" s="383"/>
    </row>
    <row r="81" ht="15">
      <c r="C81" s="383"/>
    </row>
    <row r="82" ht="15">
      <c r="C82" s="383"/>
    </row>
    <row r="83" ht="15">
      <c r="C83" s="383"/>
    </row>
    <row r="84" ht="15">
      <c r="C84" s="383"/>
    </row>
    <row r="85" ht="15">
      <c r="C85" s="383"/>
    </row>
    <row r="86" ht="15">
      <c r="C86" s="383"/>
    </row>
    <row r="87" ht="15">
      <c r="C87" s="383"/>
    </row>
    <row r="88" ht="15">
      <c r="C88" s="383"/>
    </row>
    <row r="89" ht="15">
      <c r="C89" s="383"/>
    </row>
    <row r="90" ht="15">
      <c r="C90" s="383"/>
    </row>
    <row r="91" ht="15">
      <c r="C91" s="383"/>
    </row>
    <row r="92" ht="15">
      <c r="C92" s="383"/>
    </row>
    <row r="93" ht="15">
      <c r="C93" s="383"/>
    </row>
    <row r="94" ht="15">
      <c r="C94" s="383"/>
    </row>
  </sheetData>
  <sheetProtection/>
  <mergeCells count="3">
    <mergeCell ref="A23:G23"/>
    <mergeCell ref="A45:H45"/>
    <mergeCell ref="A70:D70"/>
  </mergeCells>
  <printOptions/>
  <pageMargins left="0.5905511811023623" right="0.15748031496062992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="115" zoomScaleNormal="115" zoomScalePageLayoutView="0" workbookViewId="0" topLeftCell="A1">
      <selection activeCell="G15" activeCellId="4" sqref="A1 E13 E13 E13 G15"/>
    </sheetView>
  </sheetViews>
  <sheetFormatPr defaultColWidth="9.140625" defaultRowHeight="12.75"/>
  <sheetData>
    <row r="1" ht="12.75">
      <c r="A1" s="7"/>
    </row>
    <row r="13" ht="12.75">
      <c r="E13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Ieva Vilcāne</cp:lastModifiedBy>
  <cp:lastPrinted>2015-10-02T06:55:35Z</cp:lastPrinted>
  <dcterms:created xsi:type="dcterms:W3CDTF">2006-04-20T10:34:24Z</dcterms:created>
  <dcterms:modified xsi:type="dcterms:W3CDTF">2015-10-22T07:05:22Z</dcterms:modified>
  <cp:category/>
  <cp:version/>
  <cp:contentType/>
  <cp:contentStatus/>
</cp:coreProperties>
</file>