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matbudžets Pielik. nr.1_2   " sheetId="1" r:id="rId1"/>
    <sheet name="Pielikums nr.3" sheetId="2" r:id="rId2"/>
    <sheet name="Pielikums nr.4 " sheetId="3" r:id="rId3"/>
    <sheet name="Pielikums nr.5" sheetId="4" r:id="rId4"/>
  </sheets>
  <definedNames>
    <definedName name="_xlnm.Print_Titles" localSheetId="0">'Pamatbudžets Pielik. nr.1_2   '!$7:$7</definedName>
  </definedNames>
  <calcPr fullCalcOnLoad="1"/>
</workbook>
</file>

<file path=xl/sharedStrings.xml><?xml version="1.0" encoding="utf-8"?>
<sst xmlns="http://schemas.openxmlformats.org/spreadsheetml/2006/main" count="729" uniqueCount="629">
  <si>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</si>
  <si>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</si>
  <si>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</si>
  <si>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</si>
  <si>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</si>
  <si>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</si>
  <si>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</si>
  <si>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</si>
  <si>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</si>
  <si>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</si>
  <si>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</si>
  <si>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</si>
  <si>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</si>
  <si>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</si>
  <si>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</si>
  <si>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</si>
  <si>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</si>
  <si>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</si>
  <si>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</si>
  <si>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</si>
  <si>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</si>
  <si>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</si>
  <si>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</si>
  <si>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</si>
  <si>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</si>
  <si>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</si>
  <si>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</si>
  <si>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</si>
  <si>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</si>
  <si>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</si>
  <si>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</si>
  <si>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</si>
  <si>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</si>
  <si>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</si>
  <si>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</si>
  <si>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</si>
  <si>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</si>
  <si>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</si>
  <si>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</si>
  <si>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</si>
  <si>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</si>
  <si>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</si>
  <si>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</si>
  <si>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</si>
  <si>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</si>
  <si>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</si>
  <si>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</si>
  <si>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</si>
  <si>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Valsts kases kredīts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</si>
  <si>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</si>
  <si>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</si>
  <si>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</si>
  <si>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</si>
  <si>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</si>
  <si>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</si>
  <si>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</si>
  <si>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</si>
  <si>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</si>
  <si>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</si>
  <si>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</si>
  <si>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</si>
  <si>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</si>
  <si>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</si>
  <si>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</si>
  <si>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</si>
  <si>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</si>
  <si>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</si>
  <si>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</si>
  <si>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</si>
  <si>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</si>
  <si>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</si>
  <si>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</si>
  <si>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</si>
  <si>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</si>
  <si>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</si>
  <si>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</si>
  <si>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</si>
  <si>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</si>
  <si>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</si>
  <si>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</si>
  <si>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</si>
  <si>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</si>
  <si>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</si>
  <si>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</si>
  <si>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</si>
  <si>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</si>
  <si>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</si>
  <si>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</si>
  <si>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</si>
  <si>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</si>
  <si>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</si>
  <si>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</si>
  <si>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</si>
  <si>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</si>
  <si>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</si>
  <si>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</si>
  <si>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</si>
  <si>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</si>
  <si>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</si>
  <si>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</si>
  <si>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</si>
  <si>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</si>
  <si>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</si>
  <si>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</si>
  <si>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</si>
  <si>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</si>
  <si>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</si>
  <si>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</si>
  <si>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</si>
  <si>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</si>
  <si>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</si>
  <si>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</si>
  <si>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</si>
  <si>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Mūzikas skola</t>
  </si>
  <si>
    <t>Mākslas skola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</si>
  <si>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</si>
  <si>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</si>
  <si>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</si>
  <si>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</si>
  <si>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</si>
  <si>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</si>
  <si>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</si>
  <si>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Jaunogres v-sk.</t>
  </si>
  <si>
    <t>Ogresgala pamatsk.</t>
  </si>
  <si>
    <t xml:space="preserve">  Kopā:</t>
  </si>
  <si>
    <t>Apstiprinātās mērķdot.</t>
  </si>
  <si>
    <t>Basketbola skola</t>
  </si>
  <si>
    <t>Ogres 1.vidussk.</t>
  </si>
  <si>
    <t>Ģimnāzija</t>
  </si>
  <si>
    <t>Nemateriālie ieguldījumi</t>
  </si>
  <si>
    <t>13.0.0.0.</t>
  </si>
  <si>
    <t xml:space="preserve">    Muzeji un izstādes</t>
  </si>
  <si>
    <t xml:space="preserve">    Finansējums PA "Ogres kultūras centrs"</t>
  </si>
  <si>
    <t xml:space="preserve">    Pilsētas dekorēšana svētkiem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</si>
  <si>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</si>
  <si>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</si>
  <si>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</si>
  <si>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</si>
  <si>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</si>
  <si>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</si>
  <si>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</si>
  <si>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8.6.0.0.</t>
  </si>
  <si>
    <t>Procentu ieņēmumi par depozītiem, kontu atlikumiem un vērtpapīriem</t>
  </si>
  <si>
    <t>10.1.0.0.</t>
  </si>
  <si>
    <t>Naudas sodi</t>
  </si>
  <si>
    <t>19.1.0.0.</t>
  </si>
  <si>
    <t>21.3.5.0.</t>
  </si>
  <si>
    <t>Maksa par izglītības pakalpojumiem</t>
  </si>
  <si>
    <t>21.3.7.0.</t>
  </si>
  <si>
    <t>Būvvalde</t>
  </si>
  <si>
    <t>Mājokļu attīstība pašvaldībā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</si>
  <si>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</si>
  <si>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</si>
  <si>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</si>
  <si>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</si>
  <si>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</si>
  <si>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</si>
  <si>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</si>
  <si>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</si>
  <si>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</si>
  <si>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</si>
  <si>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</si>
  <si>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</si>
  <si>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</si>
  <si>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</si>
  <si>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F40 32 00 20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</si>
  <si>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</si>
  <si>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</si>
  <si>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</si>
  <si>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</si>
  <si>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</si>
  <si>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</si>
  <si>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</si>
  <si>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</si>
  <si>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</si>
  <si>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</si>
  <si>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21.1.0.0.</t>
  </si>
  <si>
    <t xml:space="preserve">Budžeta iestādes ieņēmumi no ārvalstu finanšu palīdzības </t>
  </si>
  <si>
    <t>F56010000</t>
  </si>
  <si>
    <t>Kapitālieguldījumu fondu akcijas</t>
  </si>
  <si>
    <t>Atalgojums</t>
  </si>
  <si>
    <t>Kopā:</t>
  </si>
  <si>
    <t>Atbalsts ģimenēm ar bērniem (Bāriņtiesas)</t>
  </si>
  <si>
    <t>18.6.0.0.</t>
  </si>
  <si>
    <t>4.1.3.0.</t>
  </si>
  <si>
    <t>Nekustamā īpašuma nodoklis par mājokļiem</t>
  </si>
  <si>
    <t>Pašvaldību saņemtie transferti no valsts budžeta</t>
  </si>
  <si>
    <t>Pašvaldības budžeta iekšējie transferti starp vienas pašvaldības budžeta veidiem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</si>
  <si>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</si>
  <si>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</si>
  <si>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</si>
  <si>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</si>
  <si>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</si>
  <si>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</si>
  <si>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</si>
  <si>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</si>
  <si>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</si>
  <si>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</si>
  <si>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</si>
  <si>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</si>
  <si>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</si>
  <si>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</si>
  <si>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</si>
  <si>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</si>
  <si>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</si>
  <si>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</si>
  <si>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</si>
  <si>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</si>
  <si>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</si>
  <si>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</si>
  <si>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</si>
  <si>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</si>
  <si>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</si>
  <si>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</si>
  <si>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</si>
  <si>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</si>
  <si>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</si>
  <si>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</si>
  <si>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</si>
  <si>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</si>
  <si>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</si>
  <si>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</si>
  <si>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>Pārējā citur neklasificētā kultūra</t>
  </si>
  <si>
    <t>08.29001</t>
  </si>
  <si>
    <t>08.29002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</si>
  <si>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</si>
  <si>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</si>
  <si>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</si>
  <si>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</si>
  <si>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</si>
  <si>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</si>
  <si>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</si>
  <si>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</si>
  <si>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</si>
  <si>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</si>
  <si>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</si>
  <si>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</si>
  <si>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</si>
  <si>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</si>
  <si>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</si>
  <si>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</si>
  <si>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</si>
  <si>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</si>
  <si>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</si>
  <si>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</si>
  <si>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</si>
  <si>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09.21910</t>
  </si>
  <si>
    <t>09.5101</t>
  </si>
  <si>
    <t>09.5102</t>
  </si>
  <si>
    <t>09.5103</t>
  </si>
  <si>
    <t>09.5104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</si>
  <si>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</si>
  <si>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</si>
  <si>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</si>
  <si>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</si>
  <si>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</si>
  <si>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</si>
  <si>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</si>
  <si>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</si>
  <si>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</si>
  <si>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</si>
  <si>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</si>
  <si>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Pakalpojumi, kurus budžeta iestādes apmaksā noteikto funkciju ietvaros, kas nav iestādes administratīvie izdevumi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</si>
  <si>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</si>
  <si>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</si>
  <si>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</si>
  <si>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06.100</t>
  </si>
  <si>
    <t>Dabas resursu nodoklis</t>
  </si>
  <si>
    <t>Ogres sākumsk.</t>
  </si>
  <si>
    <t>03.200</t>
  </si>
  <si>
    <t xml:space="preserve">          Vēstures un mākslas muzejs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</si>
  <si>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</si>
  <si>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</si>
  <si>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</si>
  <si>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</si>
  <si>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EUR</t>
  </si>
  <si>
    <t>Pašvaldību saņemtie transferti no valsts budžeta daļēji finansētām atvasinātām publiskām personām un no budžeta nefinansētām iestādēm</t>
  </si>
  <si>
    <t>17.2.0.0.</t>
  </si>
  <si>
    <r>
      <t xml:space="preserve">Kods 18.6.3.0. “ </t>
    </r>
    <r>
      <rPr>
        <i/>
        <sz val="14"/>
        <rFont val="Times New Roman"/>
        <family val="1"/>
      </rPr>
      <t xml:space="preserve">Pašvaldību no valsts budžeta iestādēm saņemtie transferti ES politiku instrumentu  un pārējās ārvalstu finanšu palīdzības līdzfinansētajiem projektiem </t>
    </r>
    <r>
      <rPr>
        <sz val="14"/>
        <rFont val="Times New Roman"/>
        <family val="1"/>
      </rPr>
      <t xml:space="preserve">” </t>
    </r>
  </si>
  <si>
    <t xml:space="preserve">       Norēķini ar citu pašvaldību sociālo pakalpojumu iestādēm</t>
  </si>
  <si>
    <t>08.29011</t>
  </si>
  <si>
    <t>Budžeta nodaļas vadītāja</t>
  </si>
  <si>
    <t>F20010000 AS</t>
  </si>
  <si>
    <t>F20010000 AB</t>
  </si>
  <si>
    <t>21.4.9.0</t>
  </si>
  <si>
    <t>Pārējie iepriekš neklasificētie pašu ieņēmumi</t>
  </si>
  <si>
    <t>04.11114</t>
  </si>
  <si>
    <t>04.2101</t>
  </si>
  <si>
    <t>04.2103</t>
  </si>
  <si>
    <t>04.51007</t>
  </si>
  <si>
    <t>05.1007</t>
  </si>
  <si>
    <t>06.1001</t>
  </si>
  <si>
    <t>08.1004</t>
  </si>
  <si>
    <t xml:space="preserve">       Struktūrvienība peldbaseins  "Neptūns"</t>
  </si>
  <si>
    <t>09.82030</t>
  </si>
  <si>
    <t>Mācību, darba un dienesta komandējumi, dienesta, darba braucieni</t>
  </si>
  <si>
    <t>Kompensācijas, kuras izmaksā personām, pamatojoties uz Latvijas tiesu nolēmumiem</t>
  </si>
  <si>
    <t>Cīrulītis</t>
  </si>
  <si>
    <t>Dzīpariņš</t>
  </si>
  <si>
    <t>Zelta sietiņš</t>
  </si>
  <si>
    <t>Saulīte</t>
  </si>
  <si>
    <t>Ābelīte</t>
  </si>
  <si>
    <t>Strautiņš</t>
  </si>
  <si>
    <t>Riekstiņš</t>
  </si>
  <si>
    <t xml:space="preserve">   Kopā</t>
  </si>
  <si>
    <t>1.vidussk.</t>
  </si>
  <si>
    <t>Ģimnāzija.</t>
  </si>
  <si>
    <t>Mūzikas  skola</t>
  </si>
  <si>
    <t>10.70015</t>
  </si>
  <si>
    <t>Kredīta atmaksa        F40322220</t>
  </si>
  <si>
    <t>Līdzekļu atlikums uz gada beigām (Kases apgrozāmie līdzekļi)  F22010020</t>
  </si>
  <si>
    <t>09.82032</t>
  </si>
  <si>
    <t>Informatīvi pasākumi uzņēmējiem</t>
  </si>
  <si>
    <t xml:space="preserve">Pašvaldības un tās iestāžu savstarpējie transferti </t>
  </si>
  <si>
    <t>Ieņēmumi no lauksaimnieciskās darbības</t>
  </si>
  <si>
    <t>07.4501</t>
  </si>
  <si>
    <t>08.2301</t>
  </si>
  <si>
    <t xml:space="preserve">    Kultūras aktivitātes / pasākumi</t>
  </si>
  <si>
    <t>Projekts Skolēnu autobusi (Soc.droš.tīkls)</t>
  </si>
  <si>
    <t>10.70003</t>
  </si>
  <si>
    <t>Sociālā dienesta asistentu pakalpojumi</t>
  </si>
  <si>
    <t>Zaudējumi no valūtas kursa svārstībām</t>
  </si>
  <si>
    <t>01.83011</t>
  </si>
  <si>
    <t>01.83012</t>
  </si>
  <si>
    <t>01.83013</t>
  </si>
  <si>
    <t>03.2001</t>
  </si>
  <si>
    <t>04.11102</t>
  </si>
  <si>
    <t>04.11103</t>
  </si>
  <si>
    <t>04.4301</t>
  </si>
  <si>
    <t>05.30001</t>
  </si>
  <si>
    <t>05.4001</t>
  </si>
  <si>
    <t xml:space="preserve">Mājokļu attīstība </t>
  </si>
  <si>
    <t>06.2001</t>
  </si>
  <si>
    <t>06.60004</t>
  </si>
  <si>
    <t xml:space="preserve">       Projektu konkurss "Veidojam vidi ap mums Ogres novadā"</t>
  </si>
  <si>
    <t xml:space="preserve">      Pašvaldības teritoriju labiekārtošana</t>
  </si>
  <si>
    <t>07.2101</t>
  </si>
  <si>
    <t>08.29007</t>
  </si>
  <si>
    <t>10.70006</t>
  </si>
  <si>
    <t>Jauniešu garantijas ietvaros projekta "PROTI un DARI!" īstenošana</t>
  </si>
  <si>
    <t>08.29008</t>
  </si>
  <si>
    <t>06.60012</t>
  </si>
  <si>
    <t xml:space="preserve">      SAM 9.2.4.2. Pasākumi vietējās sabiedrības slimību profilaksei un veselības veicināšanai</t>
  </si>
  <si>
    <t>08.2304</t>
  </si>
  <si>
    <t xml:space="preserve">    Kultūras centri - tautas nami</t>
  </si>
  <si>
    <t>08.300</t>
  </si>
  <si>
    <t>Apraides un izdevniecības pakalpojumi</t>
  </si>
  <si>
    <t>Ēdināšanas izmaksu kompensācijas</t>
  </si>
  <si>
    <t>Skolnieku pārvadājumi</t>
  </si>
  <si>
    <t>09.82001</t>
  </si>
  <si>
    <t>Karjeras atbalsts vispārējās un profesionālās izglītības iestādēs</t>
  </si>
  <si>
    <t>09.60010</t>
  </si>
  <si>
    <t>09.60020</t>
  </si>
  <si>
    <t>04.510010</t>
  </si>
  <si>
    <t>SAM 5,6,2, Degradētās teritorijas Pārogres industriālajā parkā revitalizācija</t>
  </si>
  <si>
    <t>Atbalsts izglītojamo individuālo kompetenču attīstībai</t>
  </si>
  <si>
    <t>09.82039</t>
  </si>
  <si>
    <t>08.2101</t>
  </si>
  <si>
    <t>09.82042</t>
  </si>
  <si>
    <t>8.3.0.0.</t>
  </si>
  <si>
    <t>Īeņēmumi no dividendēm</t>
  </si>
  <si>
    <t>21.3.4.0.</t>
  </si>
  <si>
    <t>03.6002</t>
  </si>
  <si>
    <t>Atskurbtuves pakalpojumiem</t>
  </si>
  <si>
    <t>04.11116</t>
  </si>
  <si>
    <t>Ogres novadnieka karte</t>
  </si>
  <si>
    <t>08.2204</t>
  </si>
  <si>
    <t>08.2303</t>
  </si>
  <si>
    <t>08.3101</t>
  </si>
  <si>
    <t>08.3301</t>
  </si>
  <si>
    <t>Erasmus programmas projekts Digitālās kompetences darba tirgū jauniešiem</t>
  </si>
  <si>
    <t>10.70016</t>
  </si>
  <si>
    <t>ERAF "Pakalpojumu infrastruktūras attīstība deinstitualizācijas plānu īstenošanai"</t>
  </si>
  <si>
    <t>Tūrisma informācijas centrs</t>
  </si>
  <si>
    <t>09.82002</t>
  </si>
  <si>
    <t>Atbalsts priekšlaicīgas mācību pārtraukšanas samazināšanai (Pumpurs)</t>
  </si>
  <si>
    <t>09.82045</t>
  </si>
  <si>
    <t>Ogres 1. vidusskolas ERASMUS programmas 1. pamatdarbības mobilitātes projekts "No vārdiem pie darbiem: mūsdienīgu lietpratību veicinoša skola"</t>
  </si>
  <si>
    <t>04.7301</t>
  </si>
  <si>
    <t>07.4502</t>
  </si>
  <si>
    <t>06.60022</t>
  </si>
  <si>
    <t>10.70007</t>
  </si>
  <si>
    <t>Sociālo pakalpojumu atbalsta sistēmas pilnveide</t>
  </si>
  <si>
    <t>04.11117</t>
  </si>
  <si>
    <t xml:space="preserve">     Veselības veicināšanas pasākumiem</t>
  </si>
  <si>
    <t>Energoefektivitātes pasākumi</t>
  </si>
  <si>
    <t>SIA Ogres namsaimnieks finansējums domes deliģēto funkciju izpildei</t>
  </si>
  <si>
    <t>21.3.6.0.</t>
  </si>
  <si>
    <t>Ieņēmumi par  dokumentu izsniegšanu un kancelejas pakalpojumiem</t>
  </si>
  <si>
    <t>F40 32 00 10</t>
  </si>
  <si>
    <t>01.6001</t>
  </si>
  <si>
    <t>Finansējums Ogres un Ikšķiles PA "Tūrisma, sporta un atpūtas kompleksa "Zilie kalni"attīstības aģentūra"</t>
  </si>
  <si>
    <t>Projektu pieteikumu izstrāde, tehniskās dokumentācijas sagatavošana</t>
  </si>
  <si>
    <t>LAD projekts Ēkas "Krievskola" kā vietējās tirdzniecības vietas atjaunošana</t>
  </si>
  <si>
    <t>04.11118</t>
  </si>
  <si>
    <t>LAD projekts Suntažu tirgus laukuma izveide</t>
  </si>
  <si>
    <t>04.2102</t>
  </si>
  <si>
    <t xml:space="preserve">Centrālās Baltijas jūras reģiona programmas projekts "Nordic urban planning:  holistic approach for extreme weather" (NOAH) </t>
  </si>
  <si>
    <t>Novērst plūdu un krasta erozijas risku apdraudējumu Ogres pilsētas teritorijā, veicot vecā aizsargdambja pārbūvi un jauna aizsargmola (straumvirzes) būvniecību pie Ogres upes ietekas Daugavā</t>
  </si>
  <si>
    <t>04.51015</t>
  </si>
  <si>
    <t>Parka ielas pārbūve</t>
  </si>
  <si>
    <t>Ielu tīrīšanai, atkritumu savākšanai,teritoriju labiekārtošanai</t>
  </si>
  <si>
    <t>05.30002</t>
  </si>
  <si>
    <t>Siltumnīcefekta gāzu emisiju samazināšana izbūvējot Ogres Centrālo bibliotēkas ēku</t>
  </si>
  <si>
    <t>06.3001</t>
  </si>
  <si>
    <t>Vispārējie ūdens apgādes izdevumi</t>
  </si>
  <si>
    <t>Dabas un bioloģiskās daudzveidības saglabāšanas un aizsardzības pasākumi īpaši aizsargājamajā dabas teritorijā "Ogres ieleja"</t>
  </si>
  <si>
    <t>06.60015</t>
  </si>
  <si>
    <t>Viedo tehnoloģiju ieviešana Ogres pilsētas apgaismojuma sistēmā</t>
  </si>
  <si>
    <t>08.220</t>
  </si>
  <si>
    <t xml:space="preserve">    Kultūras centri, nami</t>
  </si>
  <si>
    <t xml:space="preserve">    Komunikāciju centrs Ķeipenē</t>
  </si>
  <si>
    <t>Kultūras mantojuma saglabāšana un attīstība Daugavas ceļā</t>
  </si>
  <si>
    <t>08.29012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</si>
  <si>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</si>
  <si>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</si>
  <si>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</si>
  <si>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</si>
  <si>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</si>
  <si>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 xml:space="preserve">Erasmus + programmas projekts Nr.2018-1-PT01-KA229-047540 6 (ģimnāzija) </t>
  </si>
  <si>
    <t>09.82006</t>
  </si>
  <si>
    <t>Erasmus + programmas projekts Nr.2018-1-TR01-KA229-059950 3. Angļu valodas apguve (ģimnāzija)</t>
  </si>
  <si>
    <t>09.82009</t>
  </si>
  <si>
    <t>Erasmus + programmas projekts Nr.2018-1-ES01-KA229-050191 3. Kultūra uz skatuves (ģimnāzija)</t>
  </si>
  <si>
    <t>09.82010</t>
  </si>
  <si>
    <t>Sadarbībā ar Rīgas tehnisko universitāti, Māturības un tehnoloģju mācību kabineta aprīkošanā 1. vidusskolā</t>
  </si>
  <si>
    <t>Pārējās izglītības iestāžu pedagogu profesionālās kompetences  pilnveide (Ģimnāzija)</t>
  </si>
  <si>
    <t>09.82046</t>
  </si>
  <si>
    <t xml:space="preserve">Erasmus + programmas projekts Nr.2018-1-EE01-KA229-047133 4 Darbīgās bites (Dzīpariņš) </t>
  </si>
  <si>
    <t>10.70009</t>
  </si>
  <si>
    <t>Konkurss Vides pieejamības nodrošināšana invalīdiem</t>
  </si>
  <si>
    <t>F22010020</t>
  </si>
  <si>
    <t>Pieprasījuma noguldījuma izņemšana</t>
  </si>
  <si>
    <t>F55 01 00 11</t>
  </si>
  <si>
    <t>SIA MS siltums  pamatkapitāla palielināšanai (katlumāju rekonstrukcija) ; PSIA "Labs nams" pamatkapitāls</t>
  </si>
  <si>
    <t>Kapitālo izdevumu transferti</t>
  </si>
  <si>
    <t>06.60024</t>
  </si>
  <si>
    <t>Vides aizsardzības proj. "Lobes ezera apsaimniekošanas plāna izstrāde"</t>
  </si>
  <si>
    <t>LAD projekts "Ogresgala Tautas nama laukuma labiekārtošana" Nr.19-04-AL02-A019.2202-000006.</t>
  </si>
  <si>
    <t>08.29022</t>
  </si>
  <si>
    <t>Erasmus+programmas projekts "ALLready a Success to School Life" (Pilnībā gatavs veiksmei skolā) Nr.2018-1-TR01-KA201-059716.Sākumsk.</t>
  </si>
  <si>
    <t>09.82011</t>
  </si>
  <si>
    <t>Sociālo pakalpojumu atbalsta sistēmas pilnveide projekta (GRT) Nr.9.2.2.2/16/I/001.</t>
  </si>
  <si>
    <t>10.70011</t>
  </si>
  <si>
    <t>Ogres novada pašvaldības domes</t>
  </si>
  <si>
    <t xml:space="preserve">Ogres un Ogresgala 2020.g. budžets </t>
  </si>
  <si>
    <t>Pašvald. aģentūras "Ogres komunikācijas" 2020.g. budžets</t>
  </si>
  <si>
    <t>Pašvald. aģentūras "Kultūras centrs" 2020.g. budžets</t>
  </si>
  <si>
    <t>Pašvald. aģentūras "Rosme" 2020.g. budžets</t>
  </si>
  <si>
    <t>Suntažu pagasta pārvaldes 2020.g. budžets</t>
  </si>
  <si>
    <t>Lauberes pagasta pārvaldes 2020.g. budžets</t>
  </si>
  <si>
    <t>Ķeipenes pagasta pārvaldes 2020.g. budžets</t>
  </si>
  <si>
    <t>Madlienas pagasta pārvaldes 2020.g. budžets</t>
  </si>
  <si>
    <t>Krapes pagasta pārvaldes 2020.g. budžets</t>
  </si>
  <si>
    <t>Mazozolu pagasta pārvaldes 2020.g. budžets</t>
  </si>
  <si>
    <t>Meņģeles pagasta pārvaldes 2020.g. budžets</t>
  </si>
  <si>
    <t>Taurupes pagasta pārvaldes 2020.g. budžets</t>
  </si>
  <si>
    <t>Ogres novada pašvaldības 2020.g. budžets</t>
  </si>
  <si>
    <t>5.5.3.0.</t>
  </si>
  <si>
    <t>8.9.0.0.</t>
  </si>
  <si>
    <t>Pārējie finanšu ieņēmumi</t>
  </si>
  <si>
    <t>12.0.0.0.</t>
  </si>
  <si>
    <t>Procentu ieņēmumi par maksas pakalpojumiem un pašu ieguldījumiem depozītā</t>
  </si>
  <si>
    <t>Budžeta  atl.uz  01. 01. 2020.g.        F22010010</t>
  </si>
  <si>
    <t xml:space="preserve">   Vispārējie lauksaimniecības izdevumi</t>
  </si>
  <si>
    <t xml:space="preserve">   Novērst plūdu un krasta erozijas risku apdraudējumu Ogres pilsētas teritorijā, veicot vecā aizsargdambja pārbūvi un jauna aizsargmola (straumvirzes) būvniecību pie Ogres upes ietekas Daugavā</t>
  </si>
  <si>
    <t>04.51002</t>
  </si>
  <si>
    <t>04.51003</t>
  </si>
  <si>
    <t xml:space="preserve">     Grants ceļu bez cietā seguma posmu pārbūve Ogres novadā</t>
  </si>
  <si>
    <t>04.51016</t>
  </si>
  <si>
    <t>04.51017</t>
  </si>
  <si>
    <t>04.51018</t>
  </si>
  <si>
    <t>Iekārtā (gājēju) tilta pār Ogres upi teritorijā starp J.Čakstes pr. Un Ogres ielu Ogrē, būvniecība</t>
  </si>
  <si>
    <t xml:space="preserve">      Koncesija atkritumu apsaimniekošana</t>
  </si>
  <si>
    <t xml:space="preserve">       Lietus ūdens kanalizācija </t>
  </si>
  <si>
    <t xml:space="preserve">       Notekūdeņu (savākšana un attīrīšana)</t>
  </si>
  <si>
    <t xml:space="preserve">   Bioloģiskās daudzveidības un ainavas aizsardzība</t>
  </si>
  <si>
    <t xml:space="preserve">       mājokļu apsaimniekošana</t>
  </si>
  <si>
    <t xml:space="preserve">       siltumapgāde</t>
  </si>
  <si>
    <t xml:space="preserve">       kapu saimniecība</t>
  </si>
  <si>
    <t xml:space="preserve">      Īpašumu uzmērīšanai un reģistrēšanai Zemesgrāmatā</t>
  </si>
  <si>
    <t xml:space="preserve">      Pārējie izdevumi</t>
  </si>
  <si>
    <t xml:space="preserve">      Nevalstisko organizāciju projektu atbalstam</t>
  </si>
  <si>
    <t xml:space="preserve">      Saimniecības nodaļa</t>
  </si>
  <si>
    <t>06.60026</t>
  </si>
  <si>
    <t>Ogres bijušās sanatorijas ieejas vestibils</t>
  </si>
  <si>
    <t>06.60027</t>
  </si>
  <si>
    <t>Sūkņu stacijas projektēšana</t>
  </si>
  <si>
    <t>06.60028</t>
  </si>
  <si>
    <t>Jauniešu mājas būvprojekta izstrāde</t>
  </si>
  <si>
    <t xml:space="preserve">    Sudrabu Edžus memoriālā istabs</t>
  </si>
  <si>
    <t xml:space="preserve">    Papildus aktivitātes  Ogres novada pašvaldības iestādēs (vasaras nometnes)</t>
  </si>
  <si>
    <t xml:space="preserve">       Projektu konkurss RADI Ogres novadam (Kultūras, sporta un izglītības pasākumi, mācības, kursi)</t>
  </si>
  <si>
    <t>Zaļā tūrisma ceļu attīstība Latvijas un Krievijas pierobežas reģionā ” Greenways (Zaļais ceļš Rīga – Pleskava)LV-RU-006</t>
  </si>
  <si>
    <t>Finansējums bērniem, kuri apmeklē privātās pirmsskolas izglītības iestādes</t>
  </si>
  <si>
    <t>Suntažu pamatskola rehabilitācijas centrs</t>
  </si>
  <si>
    <t>09.810</t>
  </si>
  <si>
    <t>Pārējā izglītības vadība (Izglītības pārvalde)</t>
  </si>
  <si>
    <t xml:space="preserve">     Projekts Skolēnu autobusi (Šveice)</t>
  </si>
  <si>
    <t xml:space="preserve">      8.1.2.SAM "Uzlabot vispārējās izglītības iestāžu mācību vidi Ogres novadā"</t>
  </si>
  <si>
    <t>10.400</t>
  </si>
  <si>
    <t>10.500</t>
  </si>
  <si>
    <t xml:space="preserve">       ES projekts "Deinstitucionalizācija un sociālie pakalpojumi personām ar invaliditāti un bērniem"</t>
  </si>
  <si>
    <t>Ogres novada pašvaldības 2020.gada pamatbudžeta ieņēmumi.</t>
  </si>
  <si>
    <t>Ogres novada pašvaldības 2020. gada pamatbudžeta  izdevumi atbilstoši funkcionālajām kategorijām.</t>
  </si>
  <si>
    <t>Ogres novada pašvaldības 2020. gada pamatbudžeta  izdevumi atbilstoši ekonomiskajām kategorijām.</t>
  </si>
  <si>
    <t>Procentu maksājumi iekšzemes kredītiestādēm</t>
  </si>
  <si>
    <t>Pārējie iepriekš neuzskaitītie budžeta izdevumi, kas veidojas pēc uzkrāšanas principa un nav uzskaitīti citos 8000 apakškodos</t>
  </si>
  <si>
    <t>09.600139</t>
  </si>
  <si>
    <t>Ēdināšana Ogres skolās</t>
  </si>
  <si>
    <t>08.29023</t>
  </si>
  <si>
    <t>Brīvdabas skatuves būvniecība  un laukuma labiekārtošana Meņģelē</t>
  </si>
  <si>
    <t>09.5107</t>
  </si>
  <si>
    <t>Ogres Mūzikas un mākslas skola</t>
  </si>
  <si>
    <t>04.51021</t>
  </si>
  <si>
    <t>Gājēju tuneļa apgaismojuma ierīkošana Upes pr. 19 un Skolas iela 18, Ogrē</t>
  </si>
  <si>
    <t>04.51019</t>
  </si>
  <si>
    <t>Gājēju ceļa izbūve Jaunogres prospekta posmā no Baldones ielas līdz Raiņa prospektam, Ogrē</t>
  </si>
  <si>
    <t>08.29024</t>
  </si>
  <si>
    <t>Erasmus programmas projekts Nr.2020-1-LV01-KA101-077362 Skolu mācību mobilitāte (Madlienas)</t>
  </si>
  <si>
    <t>09.82054</t>
  </si>
  <si>
    <t>04.51005</t>
  </si>
  <si>
    <t>Blaumaņa ielas Ogrē pārbūve</t>
  </si>
  <si>
    <t>04.51020</t>
  </si>
  <si>
    <t>Rožu ielas Ogrē pārbūve</t>
  </si>
  <si>
    <t>04.51022</t>
  </si>
  <si>
    <t>04.51023</t>
  </si>
  <si>
    <t>04.51024</t>
  </si>
  <si>
    <t>Egļu ielas Ogrē pārbūve</t>
  </si>
  <si>
    <t>Kadiķu ielas Ogrē pārbūve</t>
  </si>
  <si>
    <t>“Gājēju un veloceliņa izbūve gar autoceļa V996 "Ogre – Viskāļi - Koknese" brauktuves malu posmā no Ogres līdz Ogresgalam</t>
  </si>
  <si>
    <t>04.51025</t>
  </si>
  <si>
    <t>Lēdmanes ielas Ogrē pārbūve</t>
  </si>
  <si>
    <t>Zilokalnu un Vidus prospekta krustojuma satiksmes organizācija</t>
  </si>
  <si>
    <t>Gājēju ceļa no Pārogres stacijas līdz Pārogres gatvei rekonstrukcija</t>
  </si>
  <si>
    <t>Birzgales ielas, Ogrē pārbūve</t>
  </si>
  <si>
    <t>06.60029</t>
  </si>
  <si>
    <t>Tirgus laukuma Suntažos uzturēšanai</t>
  </si>
  <si>
    <t>08.400</t>
  </si>
  <si>
    <t>Reliģisko organizāciju un citu biedrību un nodibinājumu pakalpojumi (Sakrālā mantojuma saglabāšana)</t>
  </si>
  <si>
    <t>04.51026</t>
  </si>
  <si>
    <t>Gājēju ietves izbūve Madlienā</t>
  </si>
  <si>
    <t>Civilās aizsardzības pasākumi (COVID-19 izdevumi)</t>
  </si>
  <si>
    <t>Projekts "Uzņēmējdarbības attīstība Ogres stacijas rajonā, pārbūvējot uzņēmējiem svarīgu ielas posmu un laukumu Ogrē'' un Stacijas laukuma stāvlaukuma pārbūve.</t>
  </si>
  <si>
    <t>Finansējums bērniem, kuri apmeklē privātās izglītības iestādes</t>
  </si>
  <si>
    <t>09.21912</t>
  </si>
  <si>
    <t>ES projekts Digitālo mācību un metodisko līdzekļu izstrāde Uzdevumi.lv modernizācijai Nr.8.3.1.2/19/A/005.(1.vsk.)</t>
  </si>
  <si>
    <t>09.82055</t>
  </si>
  <si>
    <t>Pārējie iepriekš neklasificētie vispārējie valdības dienesti (Vēlēšanas)</t>
  </si>
  <si>
    <t xml:space="preserve">LAD projekts  "Rotaļu laukuma izveide Ogres novada Ķeipenes pagastā" </t>
  </si>
  <si>
    <t>09.82056</t>
  </si>
  <si>
    <t>Jaunu Pašvaldības pakalpojumu sniegšanas veidu attīstība</t>
  </si>
  <si>
    <t>Mērķdotācija attālināta mācību procesa nodrošināšanai</t>
  </si>
  <si>
    <t>Grants ceļu bez cietā seguma posmu pārbūve Ogres novadā</t>
  </si>
  <si>
    <t>No valsts budžeta daļēji finansētu atvasinātu publisku personu un budžeta nefinansētu iestāžu transferti un uzturēšanas izdevumu transferti</t>
  </si>
  <si>
    <t>17.12.2020. Saistošajiem noteikumiem Nr.25/2020</t>
  </si>
  <si>
    <t>Pielikums Nr.3</t>
  </si>
  <si>
    <t>Plānotās kredīta summas</t>
  </si>
  <si>
    <t>Nr. p.k.</t>
  </si>
  <si>
    <t>Koriģēti 2020.g. plānotie  kredīti (EUR)</t>
  </si>
  <si>
    <t>SAM 5.6.2.Degradētās teritorijas Pārogres industriālajā parkā revitalizācija</t>
  </si>
  <si>
    <t>Aizsargmola būvniecība pie Ogres ietekas Daugavā ar mērķi novērst plūdu un krasta erozijas risku apdraudējumu Ogres pilsētā</t>
  </si>
  <si>
    <t>8.1.2.SAM "Uzlabot vispārējās izglītības iestāžu mācību vidi Ogres novadā"</t>
  </si>
  <si>
    <t>Projekts "Uzņēmējdarbības attīstība Ogres stacijas rajonā, pārbūvējot uzņēmējiem svarīgu ielas posmu un laukumu Ogrē''</t>
  </si>
  <si>
    <t>Gājēju un veloceliņa izbūve gar autoceļa V996 "Ogre – Viskāļi - Koknese" brauktuves malu posmā no Ogres līdz Ogresgalam</t>
  </si>
  <si>
    <t>Projekts “Jaunu pašvaldības pakalpojumu sniegšanas veidu attīstība”</t>
  </si>
  <si>
    <t>Pielikums Nr.4</t>
  </si>
  <si>
    <r>
      <t xml:space="preserve">Kods 18.6.2.0. “ </t>
    </r>
    <r>
      <rPr>
        <i/>
        <sz val="14"/>
        <rFont val="Times New Roman"/>
        <family val="1"/>
      </rPr>
      <t>Pašvaldību budžetā saņemtie valsta transferti noteiktam mērķim</t>
    </r>
    <r>
      <rPr>
        <sz val="14"/>
        <rFont val="Times New Roman"/>
        <family val="1"/>
      </rPr>
      <t xml:space="preserve">” </t>
    </r>
  </si>
  <si>
    <t>t sk.ped.alg.</t>
  </si>
  <si>
    <t>Pamata un vispārējās izglītības iestāžu pedagogu darba samaksai un soc.apdr.iem.</t>
  </si>
  <si>
    <t>Interešu izglītības iestāžu pedagogu darba samaksi un soc.apdr.iem.</t>
  </si>
  <si>
    <t xml:space="preserve">Mērķdotācija Suntažu internātskolas finansēšanai </t>
  </si>
  <si>
    <t>Mērķdotācija līdz 5 gadu vecumam PII "Zelta sietiņš" speciālajā grupā</t>
  </si>
  <si>
    <t>Izglītības iestāžu 5-6 gadīgo bērnu apmācības pedagogu darba samaksai un soc.apdr.iem.</t>
  </si>
  <si>
    <t>Mērķdotācija pašvaldību mākslas kolektīvu vadītāju darba samaksai un soc.apdr.iem.</t>
  </si>
  <si>
    <t>1.,2.,3. un 4. klases skolnieku ēdināšanai</t>
  </si>
  <si>
    <t>Finansējums asistenta pakalpojuma nodrošināšanai soc.dienestam</t>
  </si>
  <si>
    <t>Sporta centram pedagogu darba samaksai un soc.apdr.iem.</t>
  </si>
  <si>
    <t>Basketbolskolai pedagogu darba samaksai un soc.apdr.iem.</t>
  </si>
  <si>
    <t>Mūzikas skolai pedagogu darba samaksai un soc.apdr.iem.</t>
  </si>
  <si>
    <t>Mākslas skolai pedagogu darba samaksai un soc.apdr.iem.</t>
  </si>
  <si>
    <t>Dotācija mācību literatūras iegādei</t>
  </si>
  <si>
    <t>Mērķdotācija pašvaldības autoceļiem</t>
  </si>
  <si>
    <t>Dotācija Madlienas pansionātam</t>
  </si>
  <si>
    <t>Ieņēmumi no VKKF  proj.  "Voldemāra Jāņkalniņa gleznu kolekcijas iegāde"; Timpānu iegādei;  "Materiāli tehniskās bāzes uzlabošana Ogres mākslas skolā" īstenošanai;proj. "Mazie literatūras noslēpumi"</t>
  </si>
  <si>
    <t>Mērķdotācija jaunizveidojamā novada pašvaldības administratīvās struktūras projekta izstrādei</t>
  </si>
  <si>
    <t>Par atskurbtuves pakalpojumu sniegšanu</t>
  </si>
  <si>
    <t>Bezdarbnieku stipendiju projekts</t>
  </si>
  <si>
    <t>CVK parakstu vākšanas izdevumiem</t>
  </si>
  <si>
    <t>Latvijas vides aizsardzības fonds proj. "Lobes ezera apsaimniekošanas plāna izstrāde" īstenošanai</t>
  </si>
  <si>
    <t>LR Izglītības un zinātnes ministrija - Ģimnāzijai reģionālā metodiskā centra un pedagogu tālākizglītības centra darbības nodrošināšanai, visp. izglīt. atbalsta pasāk. un pedagogu profesionālās kompetences pilnveidošanai</t>
  </si>
  <si>
    <t>Proj."Viedo tehnoloģiju ieviešana Ogres pilsētas apgaismojuma sistēmā"</t>
  </si>
  <si>
    <t>Kažociņa mūzikas un mākslas skolai</t>
  </si>
  <si>
    <t xml:space="preserve">Meņģelei LAD ieskaitījums platību maksājumiem par nomāto zemi Dullā Daukas birzs atpūtas zonu </t>
  </si>
  <si>
    <t>Nacionālais veselības dienests Mazozolu ambulancei</t>
  </si>
  <si>
    <t>Kopā</t>
  </si>
  <si>
    <t>Projekti</t>
  </si>
  <si>
    <t>Suntažu tirgus laukuma izveide</t>
  </si>
  <si>
    <t>LAD projekts "Grants ceļu bez cietā seguma posmu pārbūve Ogres novadā" un ceļa posma Ogresgals - Maskavas šoseja asfaltēšana</t>
  </si>
  <si>
    <t>Uzņēmējdarbības attīstība Ogres stacijas rajonā, pārbūvējot uzņēmējiem svarīgu ielas posmu un laukumu Ogrē''( Skolas ielas pārbūve)</t>
  </si>
  <si>
    <t>Ēkas Upes prospektā 16, Ogrē  siltināšana un rekonstrukcija, pielāgojot Ogres novada Sociālā dienesta un tā struktūrvienību vajadzībām</t>
  </si>
  <si>
    <t xml:space="preserve">EKII projekta "Siltumnīcefekta gāzu emisijas samazināšana Ogres 1. vidusskolā" realizācijai </t>
  </si>
  <si>
    <t>SAM 9.2.4.2. Pasākumi vietējās sabiedrības slimību profilaksei un veselības veicināšanai</t>
  </si>
  <si>
    <t>ES projekts PROTI un DARI</t>
  </si>
  <si>
    <t>Projekts Atbalsts izglītojamo individuālo kompetenču attīstībai</t>
  </si>
  <si>
    <t>Erasmus + programmas projekts Nr.2018-1-FR01-KA229-047933 3 (ģimnāzija)</t>
  </si>
  <si>
    <t>Erasmus + programmas projekts Nr.2018-1-PT01-KA229-047540 6 (ģimnāzija)</t>
  </si>
  <si>
    <t>LAD projekts  "Brīvdabas skatuves būvniecība un Meņģeles pagasta Tautas nama laukuma labiekārtošana" Nr.20-04-AL02-A019.2202-000007."</t>
  </si>
  <si>
    <t>LAD projekts  "Rotaļu laukuma izveide Ogres novada Ķeipenes pagastā" Nr.20-04-AL02-A019.2202-000008.</t>
  </si>
  <si>
    <r>
      <t>Kods 18.6.4.0. “</t>
    </r>
    <r>
      <rPr>
        <i/>
        <sz val="14"/>
        <rFont val="Times New Roman"/>
        <family val="1"/>
      </rPr>
      <t xml:space="preserve"> Pašvaldību budžetā saņemtā dotācija no pašvaldību finanšu izlīdzināšanas fonda</t>
    </r>
    <r>
      <rPr>
        <sz val="14"/>
        <rFont val="Times New Roman"/>
        <family val="1"/>
      </rPr>
      <t xml:space="preserve"> ” </t>
    </r>
  </si>
  <si>
    <t>Dotācija no pašvaldību finanšu izlīdzināšanas fonda</t>
  </si>
  <si>
    <t>Dotācija no pašvaldību finanšu izlīdzināšanas fonda 2019.g.atlikuma sadale</t>
  </si>
  <si>
    <t>Pielikums Nr.5</t>
  </si>
  <si>
    <t xml:space="preserve"> Mērķdotācijas izglītības iestāžu pedagoģisko darbinieku darba samaksai un sociālās apdrošināšanas obligātajām iemaksām 2020.gada 12 mēnešiem.</t>
  </si>
  <si>
    <t xml:space="preserve"> Mērķdotācija Vispārējai izglītībai </t>
  </si>
  <si>
    <t>Ķeipenes pamatskola</t>
  </si>
  <si>
    <t xml:space="preserve"> Mērķdotācija Izglītības iestāžu 5-6 gadīgo bērnu apmācībai</t>
  </si>
  <si>
    <t>PII Taurenītis</t>
  </si>
  <si>
    <t>Madlienas vidusskolas pirmskolas grupa</t>
  </si>
  <si>
    <t>Suntažu vidusskola pirmskolas grupa</t>
  </si>
  <si>
    <t>Taurupes pamatskola pirmskolas grupa</t>
  </si>
  <si>
    <t xml:space="preserve"> Mērķdotācija Interešu izglītībai  </t>
  </si>
  <si>
    <t>Suntažu pamatskola rehabilit. c.</t>
  </si>
  <si>
    <t>Mērķdotācija līdz 5 gadu vecumam PII "Zelta sietiņš" speciālajā grupā un rehabilitācijas centram</t>
  </si>
  <si>
    <t>Suntažu pamatskola rehabilit. centrs</t>
  </si>
  <si>
    <t>Apstiprinātā mērķdot.</t>
  </si>
  <si>
    <t xml:space="preserve">Dotācija Profesionālās ievirzes izglītībai </t>
  </si>
  <si>
    <t>Apstiprinātās dotācijas</t>
  </si>
  <si>
    <t>Ogres novada pašvaldības  domes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</si>
</sst>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0.0"/>
    <numFmt numFmtId="201" formatCode="0.0000"/>
    <numFmt numFmtId="202" formatCode="0.000"/>
    <numFmt numFmtId="203" formatCode="0.0%"/>
    <numFmt numFmtId="204" formatCode="0.000000000"/>
    <numFmt numFmtId="205" formatCode="0.0000000000"/>
    <numFmt numFmtId="206" formatCode="0.00000000"/>
    <numFmt numFmtId="207" formatCode="0.0000000"/>
    <numFmt numFmtId="208" formatCode="0.000000"/>
    <numFmt numFmtId="209" formatCode="0.00000"/>
    <numFmt numFmtId="210" formatCode="#,##0.0"/>
    <numFmt numFmtId="211" formatCode="_-* #,##0.0_-;\-* #,##0.0_-;_-* &quot;-&quot;??_-;_-@_-"/>
    <numFmt numFmtId="212" formatCode="_-* #,##0_-;\-* #,##0_-;_-* &quot;-&quot;??_-;_-@_-"/>
    <numFmt numFmtId="213" formatCode="_-&quot;Ls&quot;\ * #,##0.0_-;\-&quot;Ls&quot;\ * #,##0.0_-;_-&quot;Ls&quot;\ * &quot;-&quot;??_-;_-@_-"/>
    <numFmt numFmtId="214" formatCode="_-&quot;Ls&quot;\ * #,##0_-;\-&quot;Ls&quot;\ * #,##0_-;_-&quot;Ls&quot;\ 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"/>
    <numFmt numFmtId="219" formatCode="000000"/>
    <numFmt numFmtId="220" formatCode="dd/mm/yy"/>
    <numFmt numFmtId="221" formatCode="[$€-2]\ #,##0.00_);[Red]\([$€-2]\ #,##0.00\)"/>
    <numFmt numFmtId="222" formatCode="#,##0.000"/>
    <numFmt numFmtId="223" formatCode="&quot;Jā&quot;;&quot;Jā&quot;;&quot;Nē&quot;"/>
    <numFmt numFmtId="224" formatCode="&quot;Patiess&quot;;&quot;Patiess&quot;;&quot;Aplams&quot;"/>
    <numFmt numFmtId="225" formatCode="&quot;Ieslēgts&quot;;&quot;Ieslēgts&quot;;&quot;Izslēgts&quot;"/>
    <numFmt numFmtId="226" formatCode="[$€-2]\ #\ ##,000_);[Red]\([$€-2]\ #\ ##,000\)"/>
    <numFmt numFmtId="227" formatCode="#,##0_);\(#,##0\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Baltic"/>
      <family val="0"/>
    </font>
    <font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16" borderId="1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17" fillId="4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5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13" fillId="3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9" fillId="0" borderId="12" xfId="0" applyFont="1" applyBorder="1" applyAlignment="1">
      <alignment wrapText="1"/>
    </xf>
    <xf numFmtId="0" fontId="29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3" fontId="9" fillId="24" borderId="12" xfId="0" applyNumberFormat="1" applyFont="1" applyFill="1" applyBorder="1" applyAlignment="1">
      <alignment/>
    </xf>
    <xf numFmtId="0" fontId="9" fillId="0" borderId="13" xfId="51" applyFont="1" applyBorder="1" applyAlignment="1">
      <alignment horizontal="left" wrapText="1"/>
      <protection/>
    </xf>
    <xf numFmtId="0" fontId="0" fillId="0" borderId="0" xfId="0" applyFont="1" applyAlignment="1">
      <alignment horizontal="centerContinuous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9" fillId="0" borderId="16" xfId="51" applyFont="1" applyBorder="1" applyAlignment="1">
      <alignment horizontal="left" wrapText="1"/>
      <protection/>
    </xf>
    <xf numFmtId="0" fontId="9" fillId="0" borderId="17" xfId="51" applyFont="1" applyBorder="1" applyAlignment="1">
      <alignment horizontal="left" wrapText="1"/>
      <protection/>
    </xf>
    <xf numFmtId="3" fontId="29" fillId="0" borderId="0" xfId="0" applyNumberFormat="1" applyFont="1" applyAlignment="1">
      <alignment horizontal="right"/>
    </xf>
    <xf numFmtId="3" fontId="9" fillId="0" borderId="12" xfId="0" applyNumberFormat="1" applyFont="1" applyBorder="1" applyAlignment="1">
      <alignment horizontal="left" wrapText="1"/>
    </xf>
    <xf numFmtId="3" fontId="9" fillId="25" borderId="12" xfId="0" applyNumberFormat="1" applyFont="1" applyFill="1" applyBorder="1" applyAlignment="1">
      <alignment/>
    </xf>
    <xf numFmtId="0" fontId="9" fillId="0" borderId="12" xfId="59" applyFont="1" applyBorder="1" applyAlignment="1">
      <alignment wrapText="1"/>
      <protection/>
    </xf>
    <xf numFmtId="0" fontId="9" fillId="0" borderId="17" xfId="59" applyFont="1" applyBorder="1" applyAlignment="1">
      <alignment horizontal="left" wrapText="1"/>
      <protection/>
    </xf>
    <xf numFmtId="0" fontId="9" fillId="0" borderId="12" xfId="59" applyFont="1" applyBorder="1" applyAlignment="1">
      <alignment horizontal="left" wrapText="1"/>
      <protection/>
    </xf>
    <xf numFmtId="49" fontId="10" fillId="0" borderId="18" xfId="59" applyNumberFormat="1" applyFont="1" applyBorder="1" applyAlignment="1">
      <alignment horizontal="right"/>
      <protection/>
    </xf>
    <xf numFmtId="49" fontId="9" fillId="0" borderId="18" xfId="59" applyNumberFormat="1" applyFont="1" applyBorder="1" applyAlignment="1">
      <alignment horizontal="right"/>
      <protection/>
    </xf>
    <xf numFmtId="0" fontId="9" fillId="0" borderId="19" xfId="59" applyFont="1" applyBorder="1" applyAlignment="1">
      <alignment horizontal="left" wrapText="1"/>
      <protection/>
    </xf>
    <xf numFmtId="49" fontId="9" fillId="0" borderId="20" xfId="59" applyNumberFormat="1" applyFont="1" applyBorder="1" applyAlignment="1">
      <alignment horizontal="right"/>
      <protection/>
    </xf>
    <xf numFmtId="0" fontId="29" fillId="0" borderId="12" xfId="51" applyFont="1" applyBorder="1" applyAlignment="1">
      <alignment horizontal="left" wrapText="1"/>
      <protection/>
    </xf>
    <xf numFmtId="0" fontId="29" fillId="25" borderId="12" xfId="51" applyFont="1" applyFill="1" applyBorder="1" applyAlignment="1">
      <alignment horizontal="left" wrapText="1"/>
      <protection/>
    </xf>
    <xf numFmtId="49" fontId="9" fillId="0" borderId="21" xfId="59" applyNumberFormat="1" applyFont="1" applyBorder="1" applyAlignment="1">
      <alignment horizontal="right"/>
      <protection/>
    </xf>
    <xf numFmtId="0" fontId="9" fillId="0" borderId="16" xfId="59" applyFont="1" applyBorder="1" applyAlignment="1">
      <alignment wrapText="1"/>
      <protection/>
    </xf>
    <xf numFmtId="49" fontId="10" fillId="0" borderId="22" xfId="59" applyNumberFormat="1" applyFont="1" applyBorder="1" applyAlignment="1">
      <alignment horizontal="right"/>
      <protection/>
    </xf>
    <xf numFmtId="0" fontId="29" fillId="0" borderId="16" xfId="51" applyFont="1" applyBorder="1" applyAlignment="1">
      <alignment horizontal="left" wrapText="1"/>
      <protection/>
    </xf>
    <xf numFmtId="3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left" wrapText="1"/>
    </xf>
    <xf numFmtId="3" fontId="9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25" borderId="1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 horizontal="center" wrapText="1"/>
    </xf>
    <xf numFmtId="0" fontId="9" fillId="0" borderId="11" xfId="55" applyFont="1" applyFill="1" applyBorder="1" applyAlignment="1">
      <alignment vertical="center" wrapText="1"/>
      <protection/>
    </xf>
    <xf numFmtId="3" fontId="9" fillId="0" borderId="12" xfId="0" applyNumberFormat="1" applyFont="1" applyFill="1" applyBorder="1" applyAlignment="1">
      <alignment wrapText="1"/>
    </xf>
    <xf numFmtId="3" fontId="9" fillId="0" borderId="23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12" xfId="51" applyFont="1" applyFill="1" applyBorder="1" applyAlignment="1">
      <alignment horizontal="left" wrapText="1"/>
      <protection/>
    </xf>
    <xf numFmtId="0" fontId="9" fillId="0" borderId="16" xfId="51" applyFont="1" applyFill="1" applyBorder="1" applyAlignment="1">
      <alignment horizontal="left" wrapText="1"/>
      <protection/>
    </xf>
    <xf numFmtId="3" fontId="9" fillId="0" borderId="0" xfId="0" applyNumberFormat="1" applyFont="1" applyFill="1" applyAlignment="1">
      <alignment horizontal="center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54" applyFont="1" applyFill="1" applyBorder="1" applyAlignment="1">
      <alignment horizontal="center" vertical="center" wrapText="1"/>
      <protection/>
    </xf>
    <xf numFmtId="0" fontId="10" fillId="0" borderId="27" xfId="50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wrapText="1"/>
    </xf>
    <xf numFmtId="3" fontId="10" fillId="0" borderId="1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left"/>
    </xf>
    <xf numFmtId="3" fontId="9" fillId="0" borderId="17" xfId="0" applyNumberFormat="1" applyFont="1" applyFill="1" applyBorder="1" applyAlignment="1">
      <alignment wrapText="1"/>
    </xf>
    <xf numFmtId="3" fontId="9" fillId="0" borderId="17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left"/>
    </xf>
    <xf numFmtId="3" fontId="9" fillId="0" borderId="30" xfId="0" applyNumberFormat="1" applyFont="1" applyFill="1" applyBorder="1" applyAlignment="1">
      <alignment/>
    </xf>
    <xf numFmtId="3" fontId="9" fillId="25" borderId="30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left"/>
    </xf>
    <xf numFmtId="0" fontId="9" fillId="0" borderId="19" xfId="0" applyFont="1" applyFill="1" applyBorder="1" applyAlignment="1">
      <alignment wrapText="1"/>
    </xf>
    <xf numFmtId="3" fontId="9" fillId="0" borderId="34" xfId="0" applyNumberFormat="1" applyFont="1" applyFill="1" applyBorder="1" applyAlignment="1">
      <alignment/>
    </xf>
    <xf numFmtId="3" fontId="9" fillId="25" borderId="34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 horizontal="left"/>
    </xf>
    <xf numFmtId="3" fontId="9" fillId="0" borderId="19" xfId="0" applyNumberFormat="1" applyFont="1" applyFill="1" applyBorder="1" applyAlignment="1">
      <alignment wrapText="1"/>
    </xf>
    <xf numFmtId="3" fontId="9" fillId="25" borderId="19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10" fillId="0" borderId="36" xfId="0" applyNumberFormat="1" applyFont="1" applyFill="1" applyBorder="1" applyAlignment="1">
      <alignment/>
    </xf>
    <xf numFmtId="0" fontId="9" fillId="0" borderId="20" xfId="0" applyFont="1" applyBorder="1" applyAlignment="1">
      <alignment horizontal="left"/>
    </xf>
    <xf numFmtId="0" fontId="10" fillId="0" borderId="24" xfId="0" applyFont="1" applyBorder="1" applyAlignment="1">
      <alignment wrapText="1"/>
    </xf>
    <xf numFmtId="3" fontId="9" fillId="25" borderId="24" xfId="0" applyNumberFormat="1" applyFont="1" applyFill="1" applyBorder="1" applyAlignment="1">
      <alignment/>
    </xf>
    <xf numFmtId="3" fontId="10" fillId="0" borderId="28" xfId="0" applyNumberFormat="1" applyFont="1" applyBorder="1" applyAlignment="1">
      <alignment/>
    </xf>
    <xf numFmtId="3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10" fillId="0" borderId="2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wrapText="1"/>
    </xf>
    <xf numFmtId="3" fontId="9" fillId="0" borderId="16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left"/>
    </xf>
    <xf numFmtId="3" fontId="9" fillId="0" borderId="40" xfId="0" applyNumberFormat="1" applyFont="1" applyFill="1" applyBorder="1" applyAlignment="1">
      <alignment horizontal="left"/>
    </xf>
    <xf numFmtId="3" fontId="9" fillId="0" borderId="24" xfId="0" applyNumberFormat="1" applyFont="1" applyFill="1" applyBorder="1" applyAlignment="1">
      <alignment wrapText="1"/>
    </xf>
    <xf numFmtId="3" fontId="9" fillId="0" borderId="41" xfId="0" applyNumberFormat="1" applyFont="1" applyFill="1" applyBorder="1" applyAlignment="1">
      <alignment/>
    </xf>
    <xf numFmtId="3" fontId="9" fillId="24" borderId="42" xfId="0" applyNumberFormat="1" applyFont="1" applyFill="1" applyBorder="1" applyAlignment="1">
      <alignment/>
    </xf>
    <xf numFmtId="3" fontId="9" fillId="0" borderId="43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left"/>
    </xf>
    <xf numFmtId="3" fontId="30" fillId="0" borderId="0" xfId="0" applyNumberFormat="1" applyFont="1" applyAlignment="1">
      <alignment wrapText="1"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 wrapText="1"/>
    </xf>
    <xf numFmtId="3" fontId="10" fillId="0" borderId="31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 applyProtection="1">
      <alignment/>
      <protection/>
    </xf>
    <xf numFmtId="3" fontId="9" fillId="0" borderId="17" xfId="0" applyNumberFormat="1" applyFont="1" applyFill="1" applyBorder="1" applyAlignment="1" applyProtection="1">
      <alignment horizontal="left" wrapText="1"/>
      <protection/>
    </xf>
    <xf numFmtId="3" fontId="10" fillId="0" borderId="12" xfId="0" applyNumberFormat="1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 horizontal="left" wrapText="1"/>
      <protection/>
    </xf>
    <xf numFmtId="3" fontId="10" fillId="0" borderId="12" xfId="0" applyNumberFormat="1" applyFont="1" applyFill="1" applyBorder="1" applyAlignment="1" applyProtection="1">
      <alignment horizontal="center"/>
      <protection/>
    </xf>
    <xf numFmtId="3" fontId="10" fillId="0" borderId="29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left" wrapText="1"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25" borderId="12" xfId="0" applyNumberFormat="1" applyFont="1" applyFill="1" applyBorder="1" applyAlignment="1" applyProtection="1">
      <alignment horizontal="center"/>
      <protection/>
    </xf>
    <xf numFmtId="3" fontId="10" fillId="0" borderId="12" xfId="0" applyNumberFormat="1" applyFont="1" applyFill="1" applyBorder="1" applyAlignment="1" applyProtection="1">
      <alignment horizontal="right"/>
      <protection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26" xfId="54" applyNumberFormat="1" applyFont="1" applyFill="1" applyBorder="1" applyAlignment="1">
      <alignment horizontal="center" vertical="center" wrapText="1"/>
      <protection/>
    </xf>
    <xf numFmtId="3" fontId="9" fillId="0" borderId="11" xfId="55" applyNumberFormat="1" applyFont="1" applyFill="1" applyBorder="1" applyAlignment="1">
      <alignment vertical="center" wrapText="1"/>
      <protection/>
    </xf>
    <xf numFmtId="3" fontId="9" fillId="0" borderId="14" xfId="55" applyNumberFormat="1" applyFont="1" applyFill="1" applyBorder="1" applyAlignment="1">
      <alignment vertical="center" wrapText="1"/>
      <protection/>
    </xf>
    <xf numFmtId="3" fontId="10" fillId="0" borderId="27" xfId="5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wrapText="1"/>
    </xf>
    <xf numFmtId="3" fontId="10" fillId="0" borderId="23" xfId="0" applyNumberFormat="1" applyFont="1" applyFill="1" applyBorder="1" applyAlignment="1">
      <alignment/>
    </xf>
    <xf numFmtId="3" fontId="10" fillId="0" borderId="46" xfId="0" applyNumberFormat="1" applyFont="1" applyFill="1" applyBorder="1" applyAlignment="1">
      <alignment/>
    </xf>
    <xf numFmtId="3" fontId="10" fillId="0" borderId="38" xfId="0" applyNumberFormat="1" applyFont="1" applyFill="1" applyBorder="1" applyAlignment="1">
      <alignment/>
    </xf>
    <xf numFmtId="3" fontId="10" fillId="0" borderId="47" xfId="0" applyNumberFormat="1" applyFont="1" applyFill="1" applyBorder="1" applyAlignment="1">
      <alignment/>
    </xf>
    <xf numFmtId="49" fontId="10" fillId="0" borderId="2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10" fillId="0" borderId="48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left" wrapText="1"/>
    </xf>
    <xf numFmtId="3" fontId="9" fillId="0" borderId="18" xfId="0" applyNumberFormat="1" applyFont="1" applyFill="1" applyBorder="1" applyAlignment="1">
      <alignment horizontal="right" wrapText="1"/>
    </xf>
    <xf numFmtId="3" fontId="9" fillId="25" borderId="29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wrapText="1"/>
    </xf>
    <xf numFmtId="3" fontId="10" fillId="0" borderId="13" xfId="0" applyNumberFormat="1" applyFont="1" applyFill="1" applyBorder="1" applyAlignment="1">
      <alignment/>
    </xf>
    <xf numFmtId="3" fontId="10" fillId="25" borderId="13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3" fontId="10" fillId="0" borderId="49" xfId="0" applyNumberFormat="1" applyFont="1" applyFill="1" applyBorder="1" applyAlignment="1">
      <alignment/>
    </xf>
    <xf numFmtId="3" fontId="9" fillId="25" borderId="23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wrapText="1"/>
    </xf>
    <xf numFmtId="3" fontId="10" fillId="0" borderId="44" xfId="0" applyNumberFormat="1" applyFont="1" applyFill="1" applyBorder="1" applyAlignment="1">
      <alignment/>
    </xf>
    <xf numFmtId="3" fontId="9" fillId="0" borderId="45" xfId="0" applyNumberFormat="1" applyFont="1" applyFill="1" applyBorder="1" applyAlignment="1">
      <alignment horizontal="right"/>
    </xf>
    <xf numFmtId="3" fontId="9" fillId="0" borderId="19" xfId="51" applyNumberFormat="1" applyFont="1" applyFill="1" applyBorder="1" applyAlignment="1">
      <alignment horizontal="left" wrapText="1"/>
      <protection/>
    </xf>
    <xf numFmtId="3" fontId="9" fillId="25" borderId="39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3" fontId="10" fillId="0" borderId="16" xfId="59" applyNumberFormat="1" applyFont="1" applyBorder="1" applyAlignment="1">
      <alignment horizontal="right"/>
      <protection/>
    </xf>
    <xf numFmtId="3" fontId="10" fillId="0" borderId="16" xfId="59" applyNumberFormat="1" applyFont="1" applyBorder="1" applyAlignment="1">
      <alignment wrapText="1"/>
      <protection/>
    </xf>
    <xf numFmtId="3" fontId="10" fillId="0" borderId="39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right"/>
    </xf>
    <xf numFmtId="3" fontId="9" fillId="0" borderId="36" xfId="0" applyNumberFormat="1" applyFont="1" applyFill="1" applyBorder="1" applyAlignment="1">
      <alignment/>
    </xf>
    <xf numFmtId="3" fontId="9" fillId="0" borderId="48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horizontal="left"/>
    </xf>
    <xf numFmtId="3" fontId="9" fillId="0" borderId="12" xfId="51" applyNumberFormat="1" applyFont="1" applyFill="1" applyBorder="1" applyAlignment="1">
      <alignment horizontal="left" vertical="center" wrapText="1"/>
      <protection/>
    </xf>
    <xf numFmtId="3" fontId="9" fillId="0" borderId="12" xfId="51" applyNumberFormat="1" applyFont="1" applyFill="1" applyBorder="1" applyAlignment="1">
      <alignment horizontal="left" wrapText="1"/>
      <protection/>
    </xf>
    <xf numFmtId="49" fontId="9" fillId="0" borderId="18" xfId="0" applyNumberFormat="1" applyFont="1" applyFill="1" applyBorder="1" applyAlignment="1">
      <alignment horizontal="right"/>
    </xf>
    <xf numFmtId="0" fontId="9" fillId="0" borderId="12" xfId="51" applyFont="1" applyFill="1" applyBorder="1" applyAlignment="1">
      <alignment horizontal="center" wrapText="1"/>
      <protection/>
    </xf>
    <xf numFmtId="3" fontId="9" fillId="0" borderId="17" xfId="0" applyNumberFormat="1" applyFont="1" applyFill="1" applyBorder="1" applyAlignment="1">
      <alignment horizontal="left" wrapText="1"/>
    </xf>
    <xf numFmtId="3" fontId="10" fillId="0" borderId="17" xfId="0" applyNumberFormat="1" applyFont="1" applyFill="1" applyBorder="1" applyAlignment="1">
      <alignment horizontal="left" wrapText="1"/>
    </xf>
    <xf numFmtId="3" fontId="10" fillId="0" borderId="21" xfId="59" applyNumberFormat="1" applyFont="1" applyBorder="1" applyAlignment="1">
      <alignment horizontal="right"/>
      <protection/>
    </xf>
    <xf numFmtId="3" fontId="10" fillId="0" borderId="11" xfId="0" applyNumberFormat="1" applyFont="1" applyFill="1" applyBorder="1" applyAlignment="1">
      <alignment horizontal="left" wrapText="1"/>
    </xf>
    <xf numFmtId="3" fontId="10" fillId="0" borderId="50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 horizontal="right"/>
    </xf>
    <xf numFmtId="3" fontId="9" fillId="0" borderId="17" xfId="51" applyNumberFormat="1" applyFont="1" applyFill="1" applyBorder="1" applyAlignment="1">
      <alignment horizontal="left" wrapText="1"/>
      <protection/>
    </xf>
    <xf numFmtId="3" fontId="10" fillId="25" borderId="23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 horizontal="right"/>
    </xf>
    <xf numFmtId="3" fontId="9" fillId="0" borderId="30" xfId="0" applyNumberFormat="1" applyFont="1" applyFill="1" applyBorder="1" applyAlignment="1">
      <alignment horizontal="left" wrapText="1"/>
    </xf>
    <xf numFmtId="3" fontId="9" fillId="25" borderId="12" xfId="59" applyNumberFormat="1" applyFont="1" applyFill="1" applyBorder="1" applyAlignment="1">
      <alignment horizontal="left" wrapText="1"/>
      <protection/>
    </xf>
    <xf numFmtId="0" fontId="38" fillId="0" borderId="51" xfId="59" applyFont="1" applyBorder="1" applyAlignment="1">
      <alignment horizontal="left" wrapText="1"/>
      <protection/>
    </xf>
    <xf numFmtId="3" fontId="9" fillId="0" borderId="52" xfId="0" applyNumberFormat="1" applyFont="1" applyFill="1" applyBorder="1" applyAlignment="1">
      <alignment/>
    </xf>
    <xf numFmtId="3" fontId="9" fillId="0" borderId="19" xfId="0" applyNumberFormat="1" applyFont="1" applyBorder="1" applyAlignment="1">
      <alignment horizontal="left" wrapText="1"/>
    </xf>
    <xf numFmtId="3" fontId="10" fillId="0" borderId="19" xfId="0" applyNumberFormat="1" applyFont="1" applyBorder="1" applyAlignment="1">
      <alignment horizontal="left" wrapText="1"/>
    </xf>
    <xf numFmtId="3" fontId="10" fillId="25" borderId="29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wrapText="1"/>
    </xf>
    <xf numFmtId="3" fontId="10" fillId="0" borderId="16" xfId="0" applyNumberFormat="1" applyFont="1" applyFill="1" applyBorder="1" applyAlignment="1">
      <alignment/>
    </xf>
    <xf numFmtId="3" fontId="10" fillId="0" borderId="53" xfId="0" applyNumberFormat="1" applyFont="1" applyFill="1" applyBorder="1" applyAlignment="1">
      <alignment horizontal="left"/>
    </xf>
    <xf numFmtId="3" fontId="10" fillId="0" borderId="15" xfId="0" applyNumberFormat="1" applyFont="1" applyFill="1" applyBorder="1" applyAlignment="1">
      <alignment horizontal="right"/>
    </xf>
    <xf numFmtId="3" fontId="10" fillId="0" borderId="51" xfId="0" applyNumberFormat="1" applyFont="1" applyFill="1" applyBorder="1" applyAlignment="1">
      <alignment wrapText="1"/>
    </xf>
    <xf numFmtId="3" fontId="10" fillId="0" borderId="54" xfId="0" applyNumberFormat="1" applyFont="1" applyFill="1" applyBorder="1" applyAlignment="1">
      <alignment/>
    </xf>
    <xf numFmtId="3" fontId="10" fillId="0" borderId="55" xfId="0" applyNumberFormat="1" applyFont="1" applyFill="1" applyBorder="1" applyAlignment="1">
      <alignment/>
    </xf>
    <xf numFmtId="3" fontId="10" fillId="0" borderId="56" xfId="0" applyNumberFormat="1" applyFont="1" applyFill="1" applyBorder="1" applyAlignment="1">
      <alignment/>
    </xf>
    <xf numFmtId="3" fontId="9" fillId="0" borderId="20" xfId="59" applyNumberFormat="1" applyFont="1" applyBorder="1" applyAlignment="1">
      <alignment horizontal="right"/>
      <protection/>
    </xf>
    <xf numFmtId="3" fontId="9" fillId="0" borderId="12" xfId="51" applyNumberFormat="1" applyFont="1" applyBorder="1" applyAlignment="1">
      <alignment horizontal="left" wrapText="1"/>
      <protection/>
    </xf>
    <xf numFmtId="3" fontId="29" fillId="0" borderId="12" xfId="51" applyNumberFormat="1" applyFont="1" applyBorder="1" applyAlignment="1">
      <alignment horizontal="left" wrapText="1"/>
      <protection/>
    </xf>
    <xf numFmtId="3" fontId="29" fillId="0" borderId="16" xfId="51" applyNumberFormat="1" applyFont="1" applyBorder="1" applyAlignment="1">
      <alignment horizontal="left" wrapText="1"/>
      <protection/>
    </xf>
    <xf numFmtId="3" fontId="29" fillId="0" borderId="19" xfId="51" applyNumberFormat="1" applyFont="1" applyBorder="1" applyAlignment="1">
      <alignment horizontal="left" wrapText="1"/>
      <protection/>
    </xf>
    <xf numFmtId="3" fontId="9" fillId="0" borderId="12" xfId="0" applyNumberFormat="1" applyFont="1" applyFill="1" applyBorder="1" applyAlignment="1">
      <alignment horizontal="left" wrapText="1"/>
    </xf>
    <xf numFmtId="3" fontId="9" fillId="0" borderId="12" xfId="52" applyNumberFormat="1" applyFont="1" applyFill="1" applyBorder="1" applyAlignment="1">
      <alignment horizontal="left" wrapText="1"/>
      <protection/>
    </xf>
    <xf numFmtId="3" fontId="9" fillId="0" borderId="12" xfId="59" applyNumberFormat="1" applyFont="1" applyBorder="1" applyAlignment="1">
      <alignment horizontal="right"/>
      <protection/>
    </xf>
    <xf numFmtId="3" fontId="9" fillId="0" borderId="12" xfId="52" applyNumberFormat="1" applyFont="1" applyBorder="1" applyAlignment="1">
      <alignment horizontal="left" wrapText="1"/>
      <protection/>
    </xf>
    <xf numFmtId="3" fontId="10" fillId="0" borderId="24" xfId="0" applyNumberFormat="1" applyFont="1" applyFill="1" applyBorder="1" applyAlignment="1">
      <alignment wrapText="1"/>
    </xf>
    <xf numFmtId="3" fontId="10" fillId="0" borderId="25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wrapText="1"/>
    </xf>
    <xf numFmtId="3" fontId="9" fillId="0" borderId="0" xfId="50" applyNumberFormat="1" applyFont="1" applyFill="1" applyBorder="1" applyAlignment="1">
      <alignment horizontal="left" wrapText="1"/>
      <protection/>
    </xf>
    <xf numFmtId="3" fontId="32" fillId="0" borderId="0" xfId="0" applyNumberFormat="1" applyFont="1" applyFill="1" applyBorder="1" applyAlignment="1">
      <alignment horizontal="right" wrapText="1"/>
    </xf>
    <xf numFmtId="3" fontId="36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wrapText="1"/>
    </xf>
    <xf numFmtId="3" fontId="36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9" fillId="0" borderId="0" xfId="57" applyFont="1" applyFill="1" applyAlignment="1">
      <alignment horizontal="left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left" wrapText="1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32" fillId="0" borderId="0" xfId="0" applyNumberFormat="1" applyFont="1" applyFill="1" applyAlignment="1">
      <alignment/>
    </xf>
    <xf numFmtId="3" fontId="9" fillId="0" borderId="0" xfId="57" applyNumberFormat="1" applyFont="1" applyFill="1" applyAlignment="1">
      <alignment horizontal="right"/>
      <protection/>
    </xf>
    <xf numFmtId="3" fontId="9" fillId="0" borderId="0" xfId="57" applyNumberFormat="1" applyFont="1" applyFill="1" applyAlignment="1">
      <alignment horizontal="left"/>
      <protection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10" fillId="0" borderId="40" xfId="0" applyNumberFormat="1" applyFont="1" applyFill="1" applyBorder="1" applyAlignment="1">
      <alignment horizontal="left"/>
    </xf>
    <xf numFmtId="3" fontId="2" fillId="0" borderId="46" xfId="0" applyNumberFormat="1" applyFont="1" applyFill="1" applyBorder="1" applyAlignment="1">
      <alignment/>
    </xf>
    <xf numFmtId="3" fontId="9" fillId="0" borderId="57" xfId="0" applyNumberFormat="1" applyFont="1" applyFill="1" applyBorder="1" applyAlignment="1">
      <alignment/>
    </xf>
    <xf numFmtId="3" fontId="9" fillId="0" borderId="42" xfId="0" applyNumberFormat="1" applyFont="1" applyFill="1" applyBorder="1" applyAlignment="1">
      <alignment wrapText="1"/>
    </xf>
    <xf numFmtId="3" fontId="10" fillId="0" borderId="14" xfId="0" applyNumberFormat="1" applyFont="1" applyFill="1" applyBorder="1" applyAlignment="1">
      <alignment horizontal="right"/>
    </xf>
    <xf numFmtId="3" fontId="10" fillId="0" borderId="5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0" fontId="2" fillId="0" borderId="12" xfId="0" applyFont="1" applyBorder="1" applyAlignment="1">
      <alignment/>
    </xf>
    <xf numFmtId="3" fontId="29" fillId="0" borderId="12" xfId="0" applyNumberFormat="1" applyFont="1" applyBorder="1" applyAlignment="1">
      <alignment/>
    </xf>
    <xf numFmtId="3" fontId="29" fillId="0" borderId="12" xfId="0" applyNumberFormat="1" applyFont="1" applyFill="1" applyBorder="1" applyAlignment="1">
      <alignment horizontal="right"/>
    </xf>
    <xf numFmtId="3" fontId="29" fillId="0" borderId="12" xfId="0" applyNumberFormat="1" applyFont="1" applyBorder="1" applyAlignment="1">
      <alignment horizontal="right"/>
    </xf>
    <xf numFmtId="0" fontId="29" fillId="0" borderId="12" xfId="0" applyFont="1" applyBorder="1" applyAlignment="1">
      <alignment horizontal="left" wrapText="1"/>
    </xf>
    <xf numFmtId="0" fontId="38" fillId="0" borderId="12" xfId="59" applyFont="1" applyBorder="1" applyAlignment="1">
      <alignment horizontal="left" wrapText="1"/>
      <protection/>
    </xf>
    <xf numFmtId="1" fontId="5" fillId="0" borderId="0" xfId="0" applyNumberFormat="1" applyFont="1" applyBorder="1" applyAlignment="1">
      <alignment/>
    </xf>
    <xf numFmtId="0" fontId="29" fillId="0" borderId="17" xfId="51" applyFont="1" applyBorder="1" applyAlignment="1">
      <alignment horizontal="left" wrapText="1"/>
      <protection/>
    </xf>
    <xf numFmtId="49" fontId="9" fillId="0" borderId="12" xfId="59" applyNumberFormat="1" applyFont="1" applyBorder="1" applyAlignment="1">
      <alignment horizontal="right"/>
      <protection/>
    </xf>
    <xf numFmtId="0" fontId="9" fillId="0" borderId="14" xfId="55" applyFont="1" applyFill="1" applyBorder="1" applyAlignment="1">
      <alignment vertical="center" wrapText="1"/>
      <protection/>
    </xf>
    <xf numFmtId="3" fontId="2" fillId="0" borderId="2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3" fontId="9" fillId="25" borderId="12" xfId="0" applyNumberFormat="1" applyFont="1" applyFill="1" applyBorder="1" applyAlignment="1">
      <alignment wrapText="1"/>
    </xf>
    <xf numFmtId="0" fontId="34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horizontal="center" wrapText="1"/>
    </xf>
    <xf numFmtId="3" fontId="29" fillId="25" borderId="58" xfId="0" applyNumberFormat="1" applyFont="1" applyFill="1" applyBorder="1" applyAlignment="1">
      <alignment horizontal="center" wrapText="1"/>
    </xf>
    <xf numFmtId="0" fontId="29" fillId="25" borderId="40" xfId="0" applyFont="1" applyFill="1" applyBorder="1" applyAlignment="1">
      <alignment wrapText="1"/>
    </xf>
    <xf numFmtId="0" fontId="29" fillId="0" borderId="24" xfId="0" applyFont="1" applyBorder="1" applyAlignment="1">
      <alignment horizontal="left" wrapText="1"/>
    </xf>
    <xf numFmtId="3" fontId="29" fillId="25" borderId="59" xfId="0" applyNumberFormat="1" applyFont="1" applyFill="1" applyBorder="1" applyAlignment="1">
      <alignment/>
    </xf>
    <xf numFmtId="0" fontId="29" fillId="25" borderId="18" xfId="0" applyFont="1" applyFill="1" applyBorder="1" applyAlignment="1">
      <alignment wrapText="1"/>
    </xf>
    <xf numFmtId="0" fontId="29" fillId="0" borderId="12" xfId="0" applyFont="1" applyFill="1" applyBorder="1" applyAlignment="1">
      <alignment wrapText="1"/>
    </xf>
    <xf numFmtId="3" fontId="29" fillId="0" borderId="0" xfId="0" applyNumberFormat="1" applyFont="1" applyAlignment="1">
      <alignment/>
    </xf>
    <xf numFmtId="0" fontId="9" fillId="0" borderId="12" xfId="0" applyFont="1" applyBorder="1" applyAlignment="1">
      <alignment horizontal="left" vertical="top" wrapText="1"/>
    </xf>
    <xf numFmtId="0" fontId="29" fillId="0" borderId="0" xfId="0" applyFont="1" applyFill="1" applyAlignment="1">
      <alignment/>
    </xf>
    <xf numFmtId="0" fontId="29" fillId="0" borderId="16" xfId="0" applyFont="1" applyFill="1" applyBorder="1" applyAlignment="1">
      <alignment wrapText="1"/>
    </xf>
    <xf numFmtId="3" fontId="29" fillId="0" borderId="6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0" fillId="0" borderId="11" xfId="0" applyFont="1" applyBorder="1" applyAlignment="1">
      <alignment wrapText="1"/>
    </xf>
    <xf numFmtId="3" fontId="30" fillId="0" borderId="61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Fill="1" applyAlignment="1">
      <alignment wrapText="1"/>
    </xf>
    <xf numFmtId="3" fontId="29" fillId="0" borderId="0" xfId="0" applyNumberFormat="1" applyFont="1" applyFill="1" applyAlignment="1">
      <alignment/>
    </xf>
    <xf numFmtId="0" fontId="29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/>
    </xf>
    <xf numFmtId="0" fontId="9" fillId="0" borderId="0" xfId="57" applyFont="1" applyAlignment="1">
      <alignment horizontal="right"/>
      <protection/>
    </xf>
    <xf numFmtId="0" fontId="2" fillId="0" borderId="0" xfId="0" applyFont="1" applyAlignment="1">
      <alignment horizontal="center"/>
    </xf>
    <xf numFmtId="3" fontId="30" fillId="0" borderId="0" xfId="0" applyNumberFormat="1" applyFont="1" applyAlignment="1">
      <alignment horizontal="right"/>
    </xf>
    <xf numFmtId="3" fontId="37" fillId="0" borderId="0" xfId="0" applyNumberFormat="1" applyFont="1" applyFill="1" applyAlignment="1">
      <alignment horizontal="right"/>
    </xf>
    <xf numFmtId="3" fontId="29" fillId="0" borderId="12" xfId="53" applyNumberFormat="1" applyFont="1" applyFill="1" applyBorder="1" applyAlignment="1">
      <alignment vertical="center" wrapText="1"/>
      <protection/>
    </xf>
    <xf numFmtId="4" fontId="4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3" fontId="29" fillId="24" borderId="12" xfId="0" applyNumberFormat="1" applyFont="1" applyFill="1" applyBorder="1" applyAlignment="1">
      <alignment/>
    </xf>
    <xf numFmtId="0" fontId="9" fillId="0" borderId="12" xfId="0" applyFont="1" applyFill="1" applyBorder="1" applyAlignment="1" applyProtection="1">
      <alignment horizontal="left" wrapText="1"/>
      <protection/>
    </xf>
    <xf numFmtId="0" fontId="29" fillId="0" borderId="12" xfId="0" applyFont="1" applyBorder="1" applyAlignment="1">
      <alignment horizontal="right" wrapText="1"/>
    </xf>
    <xf numFmtId="3" fontId="30" fillId="0" borderId="12" xfId="0" applyNumberFormat="1" applyFont="1" applyFill="1" applyBorder="1" applyAlignment="1">
      <alignment horizontal="right"/>
    </xf>
    <xf numFmtId="3" fontId="30" fillId="0" borderId="0" xfId="0" applyNumberFormat="1" applyFont="1" applyFill="1" applyAlignment="1">
      <alignment horizontal="right"/>
    </xf>
    <xf numFmtId="0" fontId="34" fillId="0" borderId="0" xfId="0" applyFont="1" applyAlignment="1">
      <alignment wrapText="1"/>
    </xf>
    <xf numFmtId="0" fontId="39" fillId="0" borderId="12" xfId="0" applyFont="1" applyFill="1" applyBorder="1" applyAlignment="1">
      <alignment wrapText="1"/>
    </xf>
    <xf numFmtId="0" fontId="30" fillId="0" borderId="12" xfId="0" applyFont="1" applyBorder="1" applyAlignment="1">
      <alignment horizontal="right" wrapText="1"/>
    </xf>
    <xf numFmtId="3" fontId="30" fillId="0" borderId="12" xfId="0" applyNumberFormat="1" applyFont="1" applyBorder="1" applyAlignment="1">
      <alignment/>
    </xf>
    <xf numFmtId="0" fontId="30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3" fontId="9" fillId="0" borderId="14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62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63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" fillId="0" borderId="39" xfId="0" applyFont="1" applyFill="1" applyBorder="1" applyAlignment="1">
      <alignment wrapText="1"/>
    </xf>
    <xf numFmtId="3" fontId="5" fillId="0" borderId="27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25" borderId="58" xfId="0" applyFont="1" applyFill="1" applyBorder="1" applyAlignment="1">
      <alignment wrapText="1"/>
    </xf>
    <xf numFmtId="3" fontId="4" fillId="0" borderId="64" xfId="0" applyNumberFormat="1" applyFont="1" applyFill="1" applyBorder="1" applyAlignment="1">
      <alignment/>
    </xf>
    <xf numFmtId="3" fontId="10" fillId="0" borderId="27" xfId="0" applyNumberFormat="1" applyFont="1" applyBorder="1" applyAlignment="1">
      <alignment/>
    </xf>
    <xf numFmtId="3" fontId="4" fillId="25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3" fontId="29" fillId="0" borderId="14" xfId="0" applyNumberFormat="1" applyFont="1" applyBorder="1" applyAlignment="1">
      <alignment horizontal="right" wrapText="1"/>
    </xf>
    <xf numFmtId="3" fontId="29" fillId="0" borderId="11" xfId="0" applyNumberFormat="1" applyFont="1" applyBorder="1" applyAlignment="1">
      <alignment/>
    </xf>
    <xf numFmtId="3" fontId="29" fillId="0" borderId="58" xfId="0" applyNumberFormat="1" applyFont="1" applyBorder="1" applyAlignment="1">
      <alignment/>
    </xf>
    <xf numFmtId="3" fontId="29" fillId="25" borderId="12" xfId="0" applyNumberFormat="1" applyFont="1" applyFill="1" applyBorder="1" applyAlignment="1">
      <alignment horizontal="right"/>
    </xf>
    <xf numFmtId="0" fontId="9" fillId="0" borderId="0" xfId="57" applyFont="1" applyFill="1" applyAlignment="1">
      <alignment horizontal="right"/>
      <protection/>
    </xf>
    <xf numFmtId="0" fontId="33" fillId="0" borderId="0" xfId="0" applyFont="1" applyFill="1" applyAlignment="1">
      <alignment horizontal="center"/>
    </xf>
    <xf numFmtId="3" fontId="33" fillId="0" borderId="65" xfId="0" applyNumberFormat="1" applyFont="1" applyFill="1" applyBorder="1" applyAlignment="1">
      <alignment horizontal="center" wrapText="1"/>
    </xf>
    <xf numFmtId="0" fontId="29" fillId="0" borderId="0" xfId="56" applyFont="1" applyFill="1" applyAlignment="1">
      <alignment horizontal="right"/>
      <protection/>
    </xf>
    <xf numFmtId="0" fontId="29" fillId="0" borderId="0" xfId="0" applyFont="1" applyFill="1" applyAlignment="1">
      <alignment horizontal="right"/>
    </xf>
    <xf numFmtId="0" fontId="33" fillId="0" borderId="0" xfId="0" applyFont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5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2009.g plāns apst 3" xfId="50"/>
    <cellStyle name="Normal_PROJEKTI_2016_PLĀNS_Aija un Inese" xfId="51"/>
    <cellStyle name="Normal_PROJEKTI_2016_PLĀNS_Aija un Inese 2" xfId="52"/>
    <cellStyle name="Normal_Sadale_2009._Int.sk._normatīvs" xfId="53"/>
    <cellStyle name="Normal_Sheet1" xfId="54"/>
    <cellStyle name="Normal_Sheet1_Pielikumi oktobra korekcijam 2" xfId="55"/>
    <cellStyle name="Normal_Specbudz.kopsavilkums 2006.g un korekc." xfId="56"/>
    <cellStyle name="Normal_Specbudz.kopsavilkums 2006.g un korekc. 2" xfId="57"/>
    <cellStyle name="Nosaukums" xfId="58"/>
    <cellStyle name="Parasts 2" xfId="59"/>
    <cellStyle name="Paskaidrojošs teksts" xfId="60"/>
    <cellStyle name="Pārbaudes šūna" xfId="61"/>
    <cellStyle name="Piezīme" xfId="62"/>
    <cellStyle name="Percent" xfId="63"/>
    <cellStyle name="Saistīta šūna" xfId="64"/>
    <cellStyle name="Slikts" xfId="65"/>
    <cellStyle name="Currency" xfId="66"/>
    <cellStyle name="Currency [0]" xfId="67"/>
    <cellStyle name="Virsraksts 1" xfId="68"/>
    <cellStyle name="Virsraksts 2" xfId="69"/>
    <cellStyle name="Virsraksts 3" xfId="70"/>
    <cellStyle name="Virsraksts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6"/>
  <sheetViews>
    <sheetView tabSelected="1" zoomScale="98" zoomScaleNormal="98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170" sqref="S170"/>
    </sheetView>
  </sheetViews>
  <sheetFormatPr defaultColWidth="9.140625" defaultRowHeight="12.75"/>
  <cols>
    <col min="1" max="1" width="13.28125" style="48" customWidth="1"/>
    <col min="2" max="2" width="41.00390625" style="235" customWidth="1"/>
    <col min="3" max="3" width="12.7109375" style="48" customWidth="1"/>
    <col min="4" max="4" width="13.8515625" style="237" customWidth="1"/>
    <col min="5" max="5" width="10.7109375" style="48" customWidth="1"/>
    <col min="6" max="6" width="11.00390625" style="48" customWidth="1"/>
    <col min="7" max="7" width="10.8515625" style="48" bestFit="1" customWidth="1"/>
    <col min="8" max="8" width="9.7109375" style="48" customWidth="1"/>
    <col min="9" max="9" width="10.421875" style="48" customWidth="1"/>
    <col min="10" max="10" width="11.28125" style="48" customWidth="1"/>
    <col min="11" max="11" width="10.00390625" style="48" customWidth="1"/>
    <col min="12" max="12" width="9.7109375" style="48" customWidth="1"/>
    <col min="13" max="13" width="10.421875" style="48" customWidth="1"/>
    <col min="14" max="14" width="10.28125" style="48" customWidth="1"/>
    <col min="15" max="15" width="13.00390625" style="239" customWidth="1"/>
    <col min="16" max="16384" width="9.140625" style="48" customWidth="1"/>
  </cols>
  <sheetData>
    <row r="1" spans="5:14" ht="15">
      <c r="E1" s="238"/>
      <c r="F1" s="238"/>
      <c r="N1" s="46" t="s">
        <v>10</v>
      </c>
    </row>
    <row r="2" spans="1:14" ht="15">
      <c r="A2" s="240"/>
      <c r="E2" s="240"/>
      <c r="F2" s="240"/>
      <c r="N2" s="46" t="s">
        <v>444</v>
      </c>
    </row>
    <row r="3" spans="1:14" ht="15">
      <c r="A3" s="240"/>
      <c r="E3" s="240"/>
      <c r="F3" s="240"/>
      <c r="N3" s="46" t="s">
        <v>555</v>
      </c>
    </row>
    <row r="5" spans="1:4" ht="20.25">
      <c r="A5" s="354" t="s">
        <v>503</v>
      </c>
      <c r="B5" s="354"/>
      <c r="C5" s="354"/>
      <c r="D5" s="354"/>
    </row>
    <row r="6" spans="1:13" ht="15.75" thickBot="1">
      <c r="A6" s="240"/>
      <c r="B6" s="241"/>
      <c r="C6" s="240"/>
      <c r="M6" s="242"/>
    </row>
    <row r="7" spans="1:15" ht="104.25" customHeight="1" thickBot="1">
      <c r="A7" s="65" t="s">
        <v>9</v>
      </c>
      <c r="B7" s="66" t="s">
        <v>135</v>
      </c>
      <c r="C7" s="68" t="s">
        <v>445</v>
      </c>
      <c r="D7" s="69" t="s">
        <v>446</v>
      </c>
      <c r="E7" s="67" t="s">
        <v>447</v>
      </c>
      <c r="F7" s="67" t="s">
        <v>448</v>
      </c>
      <c r="G7" s="50" t="s">
        <v>449</v>
      </c>
      <c r="H7" s="50" t="s">
        <v>450</v>
      </c>
      <c r="I7" s="50" t="s">
        <v>451</v>
      </c>
      <c r="J7" s="50" t="s">
        <v>452</v>
      </c>
      <c r="K7" s="50" t="s">
        <v>453</v>
      </c>
      <c r="L7" s="50" t="s">
        <v>454</v>
      </c>
      <c r="M7" s="50" t="s">
        <v>455</v>
      </c>
      <c r="N7" s="269" t="s">
        <v>456</v>
      </c>
      <c r="O7" s="70" t="s">
        <v>457</v>
      </c>
    </row>
    <row r="8" spans="1:15" ht="15.75" thickBot="1">
      <c r="A8" s="71"/>
      <c r="B8" s="72" t="s">
        <v>21</v>
      </c>
      <c r="C8" s="73">
        <f>C9+C12+C17+C18</f>
        <v>24720502</v>
      </c>
      <c r="D8" s="73">
        <f aca="true" t="shared" si="0" ref="D8:N8">D9+D12+D18</f>
        <v>0</v>
      </c>
      <c r="E8" s="73">
        <f t="shared" si="0"/>
        <v>0</v>
      </c>
      <c r="F8" s="74">
        <f t="shared" si="0"/>
        <v>0</v>
      </c>
      <c r="G8" s="73">
        <f>G9+G12+G18</f>
        <v>109850</v>
      </c>
      <c r="H8" s="73">
        <f t="shared" si="0"/>
        <v>50140</v>
      </c>
      <c r="I8" s="73">
        <f t="shared" si="0"/>
        <v>44700</v>
      </c>
      <c r="J8" s="73">
        <f t="shared" si="0"/>
        <v>105968</v>
      </c>
      <c r="K8" s="73">
        <f t="shared" si="0"/>
        <v>55000</v>
      </c>
      <c r="L8" s="73">
        <f t="shared" si="0"/>
        <v>49012</v>
      </c>
      <c r="M8" s="73">
        <f t="shared" si="0"/>
        <v>48623</v>
      </c>
      <c r="N8" s="73">
        <f t="shared" si="0"/>
        <v>76172</v>
      </c>
      <c r="O8" s="75">
        <f aca="true" t="shared" si="1" ref="O8:O49">SUM(C8:N8)</f>
        <v>25259967</v>
      </c>
    </row>
    <row r="9" spans="1:15" ht="15">
      <c r="A9" s="76" t="s">
        <v>22</v>
      </c>
      <c r="B9" s="77" t="s">
        <v>136</v>
      </c>
      <c r="C9" s="78">
        <f aca="true" t="shared" si="2" ref="C9:N9">SUM(C10:C11)</f>
        <v>22842645</v>
      </c>
      <c r="D9" s="78">
        <f t="shared" si="2"/>
        <v>0</v>
      </c>
      <c r="E9" s="78">
        <f t="shared" si="2"/>
        <v>0</v>
      </c>
      <c r="F9" s="52">
        <f t="shared" si="2"/>
        <v>0</v>
      </c>
      <c r="G9" s="78">
        <f t="shared" si="2"/>
        <v>0</v>
      </c>
      <c r="H9" s="78">
        <f t="shared" si="2"/>
        <v>0</v>
      </c>
      <c r="I9" s="78">
        <f t="shared" si="2"/>
        <v>0</v>
      </c>
      <c r="J9" s="78">
        <f t="shared" si="2"/>
        <v>0</v>
      </c>
      <c r="K9" s="78">
        <f t="shared" si="2"/>
        <v>0</v>
      </c>
      <c r="L9" s="78">
        <f t="shared" si="2"/>
        <v>0</v>
      </c>
      <c r="M9" s="78">
        <f t="shared" si="2"/>
        <v>0</v>
      </c>
      <c r="N9" s="78">
        <f t="shared" si="2"/>
        <v>0</v>
      </c>
      <c r="O9" s="79">
        <f t="shared" si="1"/>
        <v>22842645</v>
      </c>
    </row>
    <row r="10" spans="1:15" ht="45">
      <c r="A10" s="80" t="s">
        <v>23</v>
      </c>
      <c r="B10" s="51" t="s">
        <v>137</v>
      </c>
      <c r="C10" s="43"/>
      <c r="D10" s="43"/>
      <c r="E10" s="43"/>
      <c r="F10" s="81"/>
      <c r="G10" s="43"/>
      <c r="H10" s="43"/>
      <c r="I10" s="43"/>
      <c r="J10" s="43"/>
      <c r="K10" s="43"/>
      <c r="L10" s="43"/>
      <c r="M10" s="43"/>
      <c r="N10" s="43"/>
      <c r="O10" s="79">
        <f t="shared" si="1"/>
        <v>0</v>
      </c>
    </row>
    <row r="11" spans="1:15" ht="30">
      <c r="A11" s="80" t="s">
        <v>24</v>
      </c>
      <c r="B11" s="51" t="s">
        <v>138</v>
      </c>
      <c r="C11" s="43">
        <v>22842645</v>
      </c>
      <c r="D11" s="43"/>
      <c r="E11" s="43"/>
      <c r="F11" s="81"/>
      <c r="G11" s="43"/>
      <c r="H11" s="43"/>
      <c r="I11" s="43"/>
      <c r="J11" s="43"/>
      <c r="K11" s="43"/>
      <c r="L11" s="43"/>
      <c r="M11" s="43"/>
      <c r="N11" s="43"/>
      <c r="O11" s="79">
        <f t="shared" si="1"/>
        <v>22842645</v>
      </c>
    </row>
    <row r="12" spans="1:15" ht="15">
      <c r="A12" s="82" t="s">
        <v>139</v>
      </c>
      <c r="B12" s="51" t="s">
        <v>140</v>
      </c>
      <c r="C12" s="43">
        <f>C13</f>
        <v>1785185</v>
      </c>
      <c r="D12" s="43"/>
      <c r="E12" s="43"/>
      <c r="F12" s="81"/>
      <c r="G12" s="43">
        <f>G13</f>
        <v>109850</v>
      </c>
      <c r="H12" s="83">
        <f aca="true" t="shared" si="3" ref="H12:N12">H13</f>
        <v>50140</v>
      </c>
      <c r="I12" s="83">
        <f t="shared" si="3"/>
        <v>44700</v>
      </c>
      <c r="J12" s="83">
        <f t="shared" si="3"/>
        <v>105968</v>
      </c>
      <c r="K12" s="83">
        <f t="shared" si="3"/>
        <v>55000</v>
      </c>
      <c r="L12" s="83">
        <f t="shared" si="3"/>
        <v>49012</v>
      </c>
      <c r="M12" s="83">
        <f t="shared" si="3"/>
        <v>48623</v>
      </c>
      <c r="N12" s="83">
        <f t="shared" si="3"/>
        <v>76172</v>
      </c>
      <c r="O12" s="79">
        <f t="shared" si="1"/>
        <v>2324650</v>
      </c>
    </row>
    <row r="13" spans="1:15" ht="15">
      <c r="A13" s="82" t="s">
        <v>25</v>
      </c>
      <c r="B13" s="51" t="s">
        <v>26</v>
      </c>
      <c r="C13" s="43">
        <f>SUM(C14:C16)</f>
        <v>1785185</v>
      </c>
      <c r="D13" s="43"/>
      <c r="E13" s="43"/>
      <c r="F13" s="81"/>
      <c r="G13" s="43">
        <f>SUM(G14:G16)</f>
        <v>109850</v>
      </c>
      <c r="H13" s="43">
        <f aca="true" t="shared" si="4" ref="H13:N13">SUM(H14:H16)</f>
        <v>50140</v>
      </c>
      <c r="I13" s="43">
        <f t="shared" si="4"/>
        <v>44700</v>
      </c>
      <c r="J13" s="43">
        <f t="shared" si="4"/>
        <v>105968</v>
      </c>
      <c r="K13" s="43">
        <f t="shared" si="4"/>
        <v>55000</v>
      </c>
      <c r="L13" s="43">
        <f t="shared" si="4"/>
        <v>49012</v>
      </c>
      <c r="M13" s="43">
        <f t="shared" si="4"/>
        <v>48623</v>
      </c>
      <c r="N13" s="43">
        <f t="shared" si="4"/>
        <v>76172</v>
      </c>
      <c r="O13" s="79">
        <f t="shared" si="1"/>
        <v>2324650</v>
      </c>
    </row>
    <row r="14" spans="1:15" ht="15">
      <c r="A14" s="80" t="s">
        <v>11</v>
      </c>
      <c r="B14" s="51" t="s">
        <v>27</v>
      </c>
      <c r="C14" s="84">
        <v>746892</v>
      </c>
      <c r="D14" s="83"/>
      <c r="E14" s="83"/>
      <c r="F14" s="85"/>
      <c r="G14" s="86">
        <v>93500</v>
      </c>
      <c r="H14" s="83">
        <v>45230</v>
      </c>
      <c r="I14" s="83">
        <v>40000</v>
      </c>
      <c r="J14" s="83">
        <v>94573</v>
      </c>
      <c r="K14" s="43">
        <v>49000</v>
      </c>
      <c r="L14" s="83">
        <v>44812</v>
      </c>
      <c r="M14" s="43">
        <v>45277</v>
      </c>
      <c r="N14" s="87">
        <v>70500</v>
      </c>
      <c r="O14" s="79">
        <f t="shared" si="1"/>
        <v>1229784</v>
      </c>
    </row>
    <row r="15" spans="1:15" ht="15">
      <c r="A15" s="80" t="s">
        <v>12</v>
      </c>
      <c r="B15" s="51" t="s">
        <v>28</v>
      </c>
      <c r="C15" s="83">
        <f>525850+61323</f>
        <v>587173</v>
      </c>
      <c r="D15" s="83"/>
      <c r="E15" s="83"/>
      <c r="F15" s="85"/>
      <c r="G15" s="86">
        <v>4950</v>
      </c>
      <c r="H15" s="83">
        <v>2950</v>
      </c>
      <c r="I15" s="83">
        <v>2200</v>
      </c>
      <c r="J15" s="83">
        <v>4386</v>
      </c>
      <c r="K15" s="43">
        <v>6000</v>
      </c>
      <c r="L15" s="83">
        <v>1400</v>
      </c>
      <c r="M15" s="43">
        <v>674</v>
      </c>
      <c r="N15" s="87">
        <v>1402</v>
      </c>
      <c r="O15" s="79">
        <f t="shared" si="1"/>
        <v>611135</v>
      </c>
    </row>
    <row r="16" spans="1:15" ht="15">
      <c r="A16" s="80" t="s">
        <v>184</v>
      </c>
      <c r="B16" s="51" t="s">
        <v>185</v>
      </c>
      <c r="C16" s="84">
        <v>451120</v>
      </c>
      <c r="D16" s="83"/>
      <c r="E16" s="83"/>
      <c r="F16" s="85"/>
      <c r="G16" s="86">
        <v>11400</v>
      </c>
      <c r="H16" s="83">
        <v>1960</v>
      </c>
      <c r="I16" s="43">
        <v>2500</v>
      </c>
      <c r="J16" s="83">
        <v>7009</v>
      </c>
      <c r="K16" s="83"/>
      <c r="L16" s="83">
        <v>2800</v>
      </c>
      <c r="M16" s="43">
        <v>2672</v>
      </c>
      <c r="N16" s="87">
        <v>4270</v>
      </c>
      <c r="O16" s="79">
        <f t="shared" si="1"/>
        <v>483731</v>
      </c>
    </row>
    <row r="17" spans="1:15" ht="15">
      <c r="A17" s="88" t="s">
        <v>13</v>
      </c>
      <c r="B17" s="89" t="s">
        <v>29</v>
      </c>
      <c r="C17" s="91">
        <v>17717</v>
      </c>
      <c r="D17" s="90"/>
      <c r="E17" s="90"/>
      <c r="F17" s="92"/>
      <c r="G17" s="93"/>
      <c r="H17" s="90"/>
      <c r="I17" s="94"/>
      <c r="J17" s="90"/>
      <c r="K17" s="90"/>
      <c r="L17" s="90"/>
      <c r="M17" s="94"/>
      <c r="N17" s="92"/>
      <c r="O17" s="79">
        <f t="shared" si="1"/>
        <v>17717</v>
      </c>
    </row>
    <row r="18" spans="1:15" ht="15.75" thickBot="1">
      <c r="A18" s="95" t="s">
        <v>458</v>
      </c>
      <c r="B18" s="96" t="s">
        <v>267</v>
      </c>
      <c r="C18" s="97">
        <f>50000+24955</f>
        <v>74955</v>
      </c>
      <c r="D18" s="94"/>
      <c r="E18" s="94"/>
      <c r="F18" s="98"/>
      <c r="G18" s="94"/>
      <c r="H18" s="94"/>
      <c r="I18" s="94"/>
      <c r="J18" s="94"/>
      <c r="K18" s="94"/>
      <c r="L18" s="94"/>
      <c r="M18" s="94"/>
      <c r="N18" s="98"/>
      <c r="O18" s="99">
        <f t="shared" si="1"/>
        <v>74955</v>
      </c>
    </row>
    <row r="19" spans="1:15" ht="15.75" thickBot="1">
      <c r="A19" s="71"/>
      <c r="B19" s="72" t="s">
        <v>30</v>
      </c>
      <c r="C19" s="73">
        <f>SUM(C20:C27)</f>
        <v>173575</v>
      </c>
      <c r="D19" s="73">
        <f aca="true" t="shared" si="5" ref="D19:N19">SUM(D20:D27)</f>
        <v>200</v>
      </c>
      <c r="E19" s="73">
        <f t="shared" si="5"/>
        <v>730</v>
      </c>
      <c r="F19" s="73">
        <f t="shared" si="5"/>
        <v>0</v>
      </c>
      <c r="G19" s="73">
        <f t="shared" si="5"/>
        <v>5470</v>
      </c>
      <c r="H19" s="73">
        <f t="shared" si="5"/>
        <v>6820</v>
      </c>
      <c r="I19" s="73">
        <f t="shared" si="5"/>
        <v>100</v>
      </c>
      <c r="J19" s="73">
        <f t="shared" si="5"/>
        <v>55876</v>
      </c>
      <c r="K19" s="73">
        <f t="shared" si="5"/>
        <v>60</v>
      </c>
      <c r="L19" s="73">
        <f t="shared" si="5"/>
        <v>84440</v>
      </c>
      <c r="M19" s="73">
        <f t="shared" si="5"/>
        <v>300</v>
      </c>
      <c r="N19" s="73">
        <f t="shared" si="5"/>
        <v>13475</v>
      </c>
      <c r="O19" s="75">
        <f t="shared" si="1"/>
        <v>341046</v>
      </c>
    </row>
    <row r="20" spans="1:15" ht="15">
      <c r="A20" s="100" t="s">
        <v>359</v>
      </c>
      <c r="B20" s="101" t="s">
        <v>360</v>
      </c>
      <c r="C20" s="102">
        <v>60000</v>
      </c>
      <c r="D20" s="60"/>
      <c r="E20" s="60"/>
      <c r="F20" s="59"/>
      <c r="G20" s="60"/>
      <c r="H20" s="59"/>
      <c r="I20" s="59"/>
      <c r="J20" s="59"/>
      <c r="K20" s="59"/>
      <c r="L20" s="59"/>
      <c r="M20" s="59"/>
      <c r="N20" s="59"/>
      <c r="O20" s="103">
        <f t="shared" si="1"/>
        <v>60000</v>
      </c>
    </row>
    <row r="21" spans="1:15" ht="30">
      <c r="A21" s="76" t="s">
        <v>141</v>
      </c>
      <c r="B21" s="77" t="s">
        <v>142</v>
      </c>
      <c r="C21" s="78"/>
      <c r="D21" s="78"/>
      <c r="E21" s="78"/>
      <c r="F21" s="52"/>
      <c r="G21" s="78"/>
      <c r="H21" s="78"/>
      <c r="I21" s="78"/>
      <c r="J21" s="78">
        <v>50</v>
      </c>
      <c r="K21" s="78"/>
      <c r="L21" s="78"/>
      <c r="M21" s="78"/>
      <c r="N21" s="52"/>
      <c r="O21" s="79">
        <f t="shared" si="1"/>
        <v>50</v>
      </c>
    </row>
    <row r="22" spans="1:15" ht="15">
      <c r="A22" s="76" t="s">
        <v>459</v>
      </c>
      <c r="B22" s="77" t="s">
        <v>460</v>
      </c>
      <c r="C22" s="78"/>
      <c r="D22" s="78"/>
      <c r="E22" s="78"/>
      <c r="F22" s="52"/>
      <c r="G22" s="78"/>
      <c r="H22" s="78"/>
      <c r="I22" s="78"/>
      <c r="J22" s="78"/>
      <c r="K22" s="78"/>
      <c r="L22" s="104"/>
      <c r="M22" s="78"/>
      <c r="N22" s="105"/>
      <c r="O22" s="79">
        <f t="shared" si="1"/>
        <v>0</v>
      </c>
    </row>
    <row r="23" spans="1:15" ht="30">
      <c r="A23" s="82" t="s">
        <v>31</v>
      </c>
      <c r="B23" s="51" t="s">
        <v>32</v>
      </c>
      <c r="C23" s="43">
        <v>9000</v>
      </c>
      <c r="D23" s="43">
        <v>200</v>
      </c>
      <c r="E23" s="43"/>
      <c r="F23" s="81"/>
      <c r="G23" s="43"/>
      <c r="H23" s="43">
        <v>200</v>
      </c>
      <c r="I23" s="43">
        <v>100</v>
      </c>
      <c r="J23" s="43">
        <v>2430</v>
      </c>
      <c r="K23" s="43">
        <v>20</v>
      </c>
      <c r="L23" s="83">
        <v>50</v>
      </c>
      <c r="M23" s="43"/>
      <c r="N23" s="87">
        <v>100</v>
      </c>
      <c r="O23" s="79">
        <f t="shared" si="1"/>
        <v>12100</v>
      </c>
    </row>
    <row r="24" spans="1:15" ht="15">
      <c r="A24" s="82" t="s">
        <v>15</v>
      </c>
      <c r="B24" s="51" t="s">
        <v>14</v>
      </c>
      <c r="C24" s="43">
        <v>18000</v>
      </c>
      <c r="D24" s="43"/>
      <c r="E24" s="43"/>
      <c r="F24" s="81"/>
      <c r="G24" s="43">
        <v>1300</v>
      </c>
      <c r="H24" s="43">
        <v>120</v>
      </c>
      <c r="I24" s="43"/>
      <c r="J24" s="43">
        <v>1238</v>
      </c>
      <c r="K24" s="43">
        <v>40</v>
      </c>
      <c r="L24" s="83">
        <v>62</v>
      </c>
      <c r="M24" s="43">
        <v>100</v>
      </c>
      <c r="N24" s="87">
        <v>70</v>
      </c>
      <c r="O24" s="79">
        <f t="shared" si="1"/>
        <v>20930</v>
      </c>
    </row>
    <row r="25" spans="1:15" ht="15">
      <c r="A25" s="82" t="s">
        <v>143</v>
      </c>
      <c r="B25" s="51" t="s">
        <v>144</v>
      </c>
      <c r="C25" s="43">
        <v>30000</v>
      </c>
      <c r="D25" s="43"/>
      <c r="E25" s="43"/>
      <c r="F25" s="81"/>
      <c r="G25" s="43">
        <v>500</v>
      </c>
      <c r="H25" s="43"/>
      <c r="I25" s="43"/>
      <c r="J25" s="43">
        <v>350</v>
      </c>
      <c r="K25" s="43"/>
      <c r="L25" s="43"/>
      <c r="M25" s="43"/>
      <c r="N25" s="81">
        <v>205</v>
      </c>
      <c r="O25" s="79">
        <f t="shared" si="1"/>
        <v>31055</v>
      </c>
    </row>
    <row r="26" spans="1:15" ht="15">
      <c r="A26" s="82" t="s">
        <v>461</v>
      </c>
      <c r="B26" s="51" t="s">
        <v>33</v>
      </c>
      <c r="C26" s="43">
        <f>420000-393425</f>
        <v>26575</v>
      </c>
      <c r="D26" s="43"/>
      <c r="E26" s="43"/>
      <c r="F26" s="81"/>
      <c r="G26" s="43"/>
      <c r="H26" s="43"/>
      <c r="I26" s="43"/>
      <c r="J26" s="43">
        <v>630</v>
      </c>
      <c r="K26" s="43"/>
      <c r="L26" s="43">
        <v>16978</v>
      </c>
      <c r="M26" s="43">
        <v>200</v>
      </c>
      <c r="N26" s="81">
        <v>1100</v>
      </c>
      <c r="O26" s="79">
        <f t="shared" si="1"/>
        <v>45483</v>
      </c>
    </row>
    <row r="27" spans="1:15" ht="27.75" customHeight="1">
      <c r="A27" s="82" t="s">
        <v>130</v>
      </c>
      <c r="B27" s="51" t="s">
        <v>272</v>
      </c>
      <c r="C27" s="29">
        <v>30000</v>
      </c>
      <c r="D27" s="43"/>
      <c r="E27" s="43">
        <v>730</v>
      </c>
      <c r="F27" s="43"/>
      <c r="G27" s="43">
        <v>3670</v>
      </c>
      <c r="H27" s="85">
        <v>6500</v>
      </c>
      <c r="I27" s="81"/>
      <c r="J27" s="43">
        <v>51178</v>
      </c>
      <c r="K27" s="81"/>
      <c r="L27" s="43">
        <v>67350</v>
      </c>
      <c r="M27" s="81"/>
      <c r="N27" s="81">
        <v>12000</v>
      </c>
      <c r="O27" s="79">
        <f t="shared" si="1"/>
        <v>171428</v>
      </c>
    </row>
    <row r="28" spans="1:15" ht="58.5" thickBot="1">
      <c r="A28" s="106" t="s">
        <v>277</v>
      </c>
      <c r="B28" s="107" t="s">
        <v>276</v>
      </c>
      <c r="C28" s="108">
        <f>34958+10100</f>
        <v>45058</v>
      </c>
      <c r="D28" s="108"/>
      <c r="E28" s="108"/>
      <c r="F28" s="109"/>
      <c r="G28" s="108"/>
      <c r="H28" s="109"/>
      <c r="I28" s="109"/>
      <c r="J28" s="108"/>
      <c r="K28" s="109"/>
      <c r="L28" s="108"/>
      <c r="M28" s="109"/>
      <c r="N28" s="109"/>
      <c r="O28" s="79">
        <f t="shared" si="1"/>
        <v>45058</v>
      </c>
    </row>
    <row r="29" spans="1:15" ht="15.75" thickBot="1">
      <c r="A29" s="110" t="s">
        <v>34</v>
      </c>
      <c r="B29" s="72" t="s">
        <v>35</v>
      </c>
      <c r="C29" s="73">
        <f aca="true" t="shared" si="6" ref="C29:N29">SUM(C30:C30)</f>
        <v>20944475</v>
      </c>
      <c r="D29" s="73">
        <f t="shared" si="6"/>
        <v>0</v>
      </c>
      <c r="E29" s="73">
        <f t="shared" si="6"/>
        <v>0</v>
      </c>
      <c r="F29" s="74">
        <f t="shared" si="6"/>
        <v>0</v>
      </c>
      <c r="G29" s="73">
        <f t="shared" si="6"/>
        <v>0</v>
      </c>
      <c r="H29" s="73">
        <f t="shared" si="6"/>
        <v>0</v>
      </c>
      <c r="I29" s="73">
        <f t="shared" si="6"/>
        <v>0</v>
      </c>
      <c r="J29" s="73">
        <f t="shared" si="6"/>
        <v>79960</v>
      </c>
      <c r="K29" s="73">
        <f t="shared" si="6"/>
        <v>0</v>
      </c>
      <c r="L29" s="73">
        <f t="shared" si="6"/>
        <v>8348</v>
      </c>
      <c r="M29" s="73">
        <f t="shared" si="6"/>
        <v>200</v>
      </c>
      <c r="N29" s="73">
        <f t="shared" si="6"/>
        <v>0</v>
      </c>
      <c r="O29" s="75">
        <f t="shared" si="1"/>
        <v>21032983</v>
      </c>
    </row>
    <row r="30" spans="1:15" ht="15.75" customHeight="1" thickBot="1">
      <c r="A30" s="111" t="s">
        <v>183</v>
      </c>
      <c r="B30" s="112" t="s">
        <v>186</v>
      </c>
      <c r="C30" s="78">
        <f>15570452+4269466+809456+295101</f>
        <v>20944475</v>
      </c>
      <c r="D30" s="78"/>
      <c r="E30" s="78"/>
      <c r="F30" s="52"/>
      <c r="G30" s="78"/>
      <c r="H30" s="52"/>
      <c r="I30" s="52"/>
      <c r="J30" s="52">
        <v>79960</v>
      </c>
      <c r="K30" s="52"/>
      <c r="L30" s="52">
        <v>8348</v>
      </c>
      <c r="M30" s="52">
        <v>200</v>
      </c>
      <c r="N30" s="52"/>
      <c r="O30" s="79">
        <f t="shared" si="1"/>
        <v>21032983</v>
      </c>
    </row>
    <row r="31" spans="1:15" ht="15.75" thickBot="1">
      <c r="A31" s="110" t="s">
        <v>36</v>
      </c>
      <c r="B31" s="72" t="s">
        <v>37</v>
      </c>
      <c r="C31" s="74">
        <f>SUM(C32:C34)</f>
        <v>744058</v>
      </c>
      <c r="D31" s="74">
        <f aca="true" t="shared" si="7" ref="D31:N31">SUM(D32:D34)</f>
        <v>0</v>
      </c>
      <c r="E31" s="74">
        <f t="shared" si="7"/>
        <v>0</v>
      </c>
      <c r="F31" s="74">
        <f t="shared" si="7"/>
        <v>0</v>
      </c>
      <c r="G31" s="73">
        <f t="shared" si="7"/>
        <v>0</v>
      </c>
      <c r="H31" s="73">
        <f t="shared" si="7"/>
        <v>0</v>
      </c>
      <c r="I31" s="73">
        <f t="shared" si="7"/>
        <v>0</v>
      </c>
      <c r="J31" s="73">
        <f t="shared" si="7"/>
        <v>80613</v>
      </c>
      <c r="K31" s="73">
        <f t="shared" si="7"/>
        <v>0</v>
      </c>
      <c r="L31" s="73">
        <f t="shared" si="7"/>
        <v>0</v>
      </c>
      <c r="M31" s="73">
        <f t="shared" si="7"/>
        <v>0</v>
      </c>
      <c r="N31" s="73">
        <f t="shared" si="7"/>
        <v>0</v>
      </c>
      <c r="O31" s="75">
        <f t="shared" si="1"/>
        <v>824671</v>
      </c>
    </row>
    <row r="32" spans="1:15" ht="30">
      <c r="A32" s="76" t="s">
        <v>145</v>
      </c>
      <c r="B32" s="77" t="s">
        <v>187</v>
      </c>
      <c r="C32" s="52"/>
      <c r="D32" s="52"/>
      <c r="E32" s="52"/>
      <c r="F32" s="52"/>
      <c r="G32" s="78"/>
      <c r="H32" s="52"/>
      <c r="I32" s="52"/>
      <c r="J32" s="52"/>
      <c r="K32" s="52"/>
      <c r="L32" s="52"/>
      <c r="M32" s="52"/>
      <c r="N32" s="52"/>
      <c r="O32" s="79">
        <f t="shared" si="1"/>
        <v>0</v>
      </c>
    </row>
    <row r="33" spans="1:15" ht="30">
      <c r="A33" s="82" t="s">
        <v>38</v>
      </c>
      <c r="B33" s="51" t="s">
        <v>188</v>
      </c>
      <c r="C33" s="81">
        <v>744058</v>
      </c>
      <c r="D33" s="81"/>
      <c r="E33" s="81"/>
      <c r="F33" s="81"/>
      <c r="G33" s="43"/>
      <c r="H33" s="81"/>
      <c r="I33" s="81"/>
      <c r="J33" s="81">
        <v>80613</v>
      </c>
      <c r="K33" s="81"/>
      <c r="L33" s="43"/>
      <c r="M33" s="81"/>
      <c r="N33" s="81"/>
      <c r="O33" s="79">
        <f t="shared" si="1"/>
        <v>824671</v>
      </c>
    </row>
    <row r="34" spans="1:15" ht="26.25" customHeight="1" thickBot="1">
      <c r="A34" s="95" t="s">
        <v>39</v>
      </c>
      <c r="B34" s="273" t="s">
        <v>313</v>
      </c>
      <c r="C34" s="94"/>
      <c r="D34" s="94"/>
      <c r="E34" s="94"/>
      <c r="F34" s="98"/>
      <c r="G34" s="93"/>
      <c r="H34" s="94"/>
      <c r="I34" s="97"/>
      <c r="J34" s="94"/>
      <c r="K34" s="98"/>
      <c r="L34" s="113"/>
      <c r="M34" s="114"/>
      <c r="N34" s="115"/>
      <c r="O34" s="99">
        <f t="shared" si="1"/>
        <v>0</v>
      </c>
    </row>
    <row r="35" spans="1:15" ht="15.75" thickBot="1">
      <c r="A35" s="110" t="s">
        <v>40</v>
      </c>
      <c r="B35" s="72" t="s">
        <v>41</v>
      </c>
      <c r="C35" s="74">
        <f>SUM(C36,C37,C44)</f>
        <v>515110</v>
      </c>
      <c r="D35" s="74">
        <f aca="true" t="shared" si="8" ref="D35:N35">SUM(D36,D37,D44)</f>
        <v>2200875</v>
      </c>
      <c r="E35" s="74">
        <f t="shared" si="8"/>
        <v>151740</v>
      </c>
      <c r="F35" s="74">
        <f t="shared" si="8"/>
        <v>251978</v>
      </c>
      <c r="G35" s="74">
        <f>SUM(G36,G37,G44)</f>
        <v>60410</v>
      </c>
      <c r="H35" s="74">
        <f t="shared" si="8"/>
        <v>99340</v>
      </c>
      <c r="I35" s="74">
        <f t="shared" si="8"/>
        <v>116832</v>
      </c>
      <c r="J35" s="74">
        <f t="shared" si="8"/>
        <v>636711</v>
      </c>
      <c r="K35" s="74">
        <f t="shared" si="8"/>
        <v>10382</v>
      </c>
      <c r="L35" s="74">
        <f t="shared" si="8"/>
        <v>16417</v>
      </c>
      <c r="M35" s="74">
        <f t="shared" si="8"/>
        <v>14000</v>
      </c>
      <c r="N35" s="74">
        <f t="shared" si="8"/>
        <v>51500</v>
      </c>
      <c r="O35" s="75">
        <f t="shared" si="1"/>
        <v>4125295</v>
      </c>
    </row>
    <row r="36" spans="1:15" ht="31.5">
      <c r="A36" s="116" t="s">
        <v>176</v>
      </c>
      <c r="B36" s="117" t="s">
        <v>177</v>
      </c>
      <c r="C36" s="118">
        <f>97997+3776</f>
        <v>101773</v>
      </c>
      <c r="D36" s="78"/>
      <c r="E36" s="52"/>
      <c r="F36" s="52"/>
      <c r="G36" s="78"/>
      <c r="H36" s="78"/>
      <c r="I36" s="78"/>
      <c r="J36" s="78"/>
      <c r="K36" s="78"/>
      <c r="L36" s="78"/>
      <c r="M36" s="78"/>
      <c r="N36" s="52"/>
      <c r="O36" s="79">
        <f t="shared" si="1"/>
        <v>101773</v>
      </c>
    </row>
    <row r="37" spans="1:15" ht="43.5">
      <c r="A37" s="119" t="s">
        <v>42</v>
      </c>
      <c r="B37" s="120" t="s">
        <v>189</v>
      </c>
      <c r="C37" s="61">
        <f aca="true" t="shared" si="9" ref="C37:I37">SUM(C38:C43)</f>
        <v>413337</v>
      </c>
      <c r="D37" s="61">
        <f t="shared" si="9"/>
        <v>2182020</v>
      </c>
      <c r="E37" s="61">
        <f t="shared" si="9"/>
        <v>150489</v>
      </c>
      <c r="F37" s="61">
        <f t="shared" si="9"/>
        <v>251978</v>
      </c>
      <c r="G37" s="61">
        <f t="shared" si="9"/>
        <v>60410</v>
      </c>
      <c r="H37" s="121">
        <f t="shared" si="9"/>
        <v>98340</v>
      </c>
      <c r="I37" s="61">
        <f t="shared" si="9"/>
        <v>116832</v>
      </c>
      <c r="J37" s="61">
        <f>SUM(J38:J43)</f>
        <v>636711</v>
      </c>
      <c r="K37" s="61">
        <f>SUM(K38:K43)</f>
        <v>10382</v>
      </c>
      <c r="L37" s="61">
        <f>SUM(L38:L43)</f>
        <v>16417</v>
      </c>
      <c r="M37" s="61">
        <f>SUM(M38:M43)</f>
        <v>14000</v>
      </c>
      <c r="N37" s="121">
        <f>SUM(N38:N43)</f>
        <v>51500</v>
      </c>
      <c r="O37" s="79">
        <f t="shared" si="1"/>
        <v>4002416</v>
      </c>
    </row>
    <row r="38" spans="1:15" ht="30">
      <c r="A38" s="80" t="s">
        <v>361</v>
      </c>
      <c r="B38" s="51" t="s">
        <v>462</v>
      </c>
      <c r="C38" s="122"/>
      <c r="D38" s="122"/>
      <c r="E38" s="121"/>
      <c r="F38" s="123"/>
      <c r="G38" s="61"/>
      <c r="H38" s="121"/>
      <c r="I38" s="61"/>
      <c r="J38" s="85">
        <v>170</v>
      </c>
      <c r="K38" s="61"/>
      <c r="L38" s="121"/>
      <c r="M38" s="61"/>
      <c r="N38" s="121"/>
      <c r="O38" s="79">
        <f t="shared" si="1"/>
        <v>170</v>
      </c>
    </row>
    <row r="39" spans="1:15" ht="15">
      <c r="A39" s="80" t="s">
        <v>146</v>
      </c>
      <c r="B39" s="51" t="s">
        <v>147</v>
      </c>
      <c r="C39" s="83">
        <v>183520</v>
      </c>
      <c r="D39" s="83"/>
      <c r="E39" s="85"/>
      <c r="F39" s="81"/>
      <c r="G39" s="43">
        <v>46513</v>
      </c>
      <c r="H39" s="61"/>
      <c r="I39" s="43">
        <v>12716</v>
      </c>
      <c r="J39" s="43">
        <v>53786</v>
      </c>
      <c r="K39" s="61"/>
      <c r="L39" s="61"/>
      <c r="M39" s="61"/>
      <c r="N39" s="123">
        <v>5000</v>
      </c>
      <c r="O39" s="79">
        <f t="shared" si="1"/>
        <v>301535</v>
      </c>
    </row>
    <row r="40" spans="1:15" ht="15">
      <c r="A40" s="80" t="s">
        <v>387</v>
      </c>
      <c r="B40" s="51" t="s">
        <v>314</v>
      </c>
      <c r="C40" s="43"/>
      <c r="D40" s="43"/>
      <c r="E40" s="43"/>
      <c r="F40" s="81"/>
      <c r="G40" s="43"/>
      <c r="H40" s="43"/>
      <c r="I40" s="43"/>
      <c r="J40" s="43"/>
      <c r="K40" s="43"/>
      <c r="L40" s="43"/>
      <c r="M40" s="43"/>
      <c r="N40" s="81"/>
      <c r="O40" s="79">
        <f t="shared" si="1"/>
        <v>0</v>
      </c>
    </row>
    <row r="41" spans="1:15" ht="30">
      <c r="A41" s="80" t="s">
        <v>148</v>
      </c>
      <c r="B41" s="51" t="s">
        <v>388</v>
      </c>
      <c r="C41" s="43"/>
      <c r="D41" s="43"/>
      <c r="E41" s="43"/>
      <c r="F41" s="81"/>
      <c r="G41" s="43"/>
      <c r="H41" s="43">
        <v>10</v>
      </c>
      <c r="I41" s="43"/>
      <c r="J41" s="43">
        <v>2</v>
      </c>
      <c r="K41" s="43"/>
      <c r="L41" s="43"/>
      <c r="M41" s="43"/>
      <c r="N41" s="81"/>
      <c r="O41" s="79">
        <f t="shared" si="1"/>
        <v>12</v>
      </c>
    </row>
    <row r="42" spans="1:15" ht="15">
      <c r="A42" s="80" t="s">
        <v>43</v>
      </c>
      <c r="B42" s="51" t="s">
        <v>44</v>
      </c>
      <c r="C42" s="43">
        <v>217117</v>
      </c>
      <c r="D42" s="43">
        <v>41028</v>
      </c>
      <c r="E42" s="43">
        <v>52774</v>
      </c>
      <c r="F42" s="43">
        <v>16153</v>
      </c>
      <c r="G42" s="83">
        <v>4980</v>
      </c>
      <c r="H42" s="43">
        <v>10310</v>
      </c>
      <c r="I42" s="43">
        <v>6050</v>
      </c>
      <c r="J42" s="43">
        <v>22933</v>
      </c>
      <c r="K42" s="124">
        <v>2925</v>
      </c>
      <c r="L42" s="43">
        <v>3240</v>
      </c>
      <c r="M42" s="43">
        <f>3200+500+1300</f>
        <v>5000</v>
      </c>
      <c r="N42" s="87">
        <v>9500</v>
      </c>
      <c r="O42" s="79">
        <f t="shared" si="1"/>
        <v>392010</v>
      </c>
    </row>
    <row r="43" spans="1:15" ht="30">
      <c r="A43" s="80" t="s">
        <v>45</v>
      </c>
      <c r="B43" s="51" t="s">
        <v>46</v>
      </c>
      <c r="C43" s="43">
        <f>26700-14000</f>
        <v>12700</v>
      </c>
      <c r="D43" s="43">
        <v>2140992</v>
      </c>
      <c r="E43" s="43">
        <v>97715</v>
      </c>
      <c r="F43" s="43">
        <f>249557-13732</f>
        <v>235825</v>
      </c>
      <c r="G43" s="125">
        <v>8917</v>
      </c>
      <c r="H43" s="83">
        <v>88020</v>
      </c>
      <c r="I43" s="43">
        <f>91190+6876</f>
        <v>98066</v>
      </c>
      <c r="J43" s="83">
        <v>559820</v>
      </c>
      <c r="K43" s="124">
        <v>7457</v>
      </c>
      <c r="L43" s="83">
        <v>13177</v>
      </c>
      <c r="M43" s="43">
        <v>9000</v>
      </c>
      <c r="N43" s="87">
        <v>37000</v>
      </c>
      <c r="O43" s="79">
        <f t="shared" si="1"/>
        <v>3308689</v>
      </c>
    </row>
    <row r="44" spans="1:15" ht="30" thickBot="1">
      <c r="A44" s="119" t="s">
        <v>284</v>
      </c>
      <c r="B44" s="120" t="s">
        <v>285</v>
      </c>
      <c r="C44" s="108"/>
      <c r="D44" s="108">
        <f>1000+14855+3000</f>
        <v>18855</v>
      </c>
      <c r="E44" s="108">
        <v>1251</v>
      </c>
      <c r="F44" s="109"/>
      <c r="G44" s="126"/>
      <c r="H44" s="108">
        <v>1000</v>
      </c>
      <c r="I44" s="127"/>
      <c r="J44" s="127"/>
      <c r="K44" s="127"/>
      <c r="L44" s="127"/>
      <c r="M44" s="127"/>
      <c r="N44" s="127"/>
      <c r="O44" s="79">
        <f t="shared" si="1"/>
        <v>21106</v>
      </c>
    </row>
    <row r="45" spans="1:15" ht="15.75" thickBot="1">
      <c r="A45" s="128"/>
      <c r="B45" s="129" t="s">
        <v>47</v>
      </c>
      <c r="C45" s="130">
        <f>SUM(C8+C19+C28+C29+C31+C35)</f>
        <v>47142778</v>
      </c>
      <c r="D45" s="130">
        <f>SUM(D8+D19+D28+D29+D31+D35)</f>
        <v>2201075</v>
      </c>
      <c r="E45" s="130">
        <f aca="true" t="shared" si="10" ref="E45:N45">SUM(E8+E19+E28+E29+E31+E35)</f>
        <v>152470</v>
      </c>
      <c r="F45" s="131">
        <f t="shared" si="10"/>
        <v>251978</v>
      </c>
      <c r="G45" s="130">
        <f t="shared" si="10"/>
        <v>175730</v>
      </c>
      <c r="H45" s="130">
        <f t="shared" si="10"/>
        <v>156300</v>
      </c>
      <c r="I45" s="130">
        <f t="shared" si="10"/>
        <v>161632</v>
      </c>
      <c r="J45" s="130">
        <f t="shared" si="10"/>
        <v>959128</v>
      </c>
      <c r="K45" s="130">
        <f t="shared" si="10"/>
        <v>65442</v>
      </c>
      <c r="L45" s="130">
        <f t="shared" si="10"/>
        <v>158217</v>
      </c>
      <c r="M45" s="130">
        <f t="shared" si="10"/>
        <v>63123</v>
      </c>
      <c r="N45" s="130">
        <f t="shared" si="10"/>
        <v>141147</v>
      </c>
      <c r="O45" s="75">
        <f t="shared" si="1"/>
        <v>51629020</v>
      </c>
    </row>
    <row r="46" spans="1:15" ht="15">
      <c r="A46" s="132" t="s">
        <v>389</v>
      </c>
      <c r="B46" s="133" t="s">
        <v>48</v>
      </c>
      <c r="C46" s="132">
        <f>9743892+444502+124212</f>
        <v>10312606</v>
      </c>
      <c r="D46" s="78"/>
      <c r="E46" s="78"/>
      <c r="F46" s="52"/>
      <c r="G46" s="78"/>
      <c r="H46" s="78"/>
      <c r="I46" s="78"/>
      <c r="J46" s="78"/>
      <c r="K46" s="78"/>
      <c r="L46" s="78"/>
      <c r="M46" s="52"/>
      <c r="N46" s="53"/>
      <c r="O46" s="62">
        <f t="shared" si="1"/>
        <v>10312606</v>
      </c>
    </row>
    <row r="47" spans="1:15" ht="15">
      <c r="A47" s="134"/>
      <c r="B47" s="135" t="s">
        <v>49</v>
      </c>
      <c r="C47" s="136">
        <f aca="true" t="shared" si="11" ref="C47:N47">SUM(C45:C46)</f>
        <v>57455384</v>
      </c>
      <c r="D47" s="134">
        <f t="shared" si="11"/>
        <v>2201075</v>
      </c>
      <c r="E47" s="134">
        <f t="shared" si="11"/>
        <v>152470</v>
      </c>
      <c r="F47" s="137">
        <f t="shared" si="11"/>
        <v>251978</v>
      </c>
      <c r="G47" s="134">
        <f t="shared" si="11"/>
        <v>175730</v>
      </c>
      <c r="H47" s="134">
        <f t="shared" si="11"/>
        <v>156300</v>
      </c>
      <c r="I47" s="134">
        <f t="shared" si="11"/>
        <v>161632</v>
      </c>
      <c r="J47" s="134">
        <f t="shared" si="11"/>
        <v>959128</v>
      </c>
      <c r="K47" s="134">
        <f t="shared" si="11"/>
        <v>65442</v>
      </c>
      <c r="L47" s="134">
        <f t="shared" si="11"/>
        <v>158217</v>
      </c>
      <c r="M47" s="137">
        <f t="shared" si="11"/>
        <v>63123</v>
      </c>
      <c r="N47" s="134">
        <f t="shared" si="11"/>
        <v>141147</v>
      </c>
      <c r="O47" s="118">
        <f t="shared" si="1"/>
        <v>61941626</v>
      </c>
    </row>
    <row r="48" spans="1:15" ht="18" customHeight="1">
      <c r="A48" s="138" t="s">
        <v>282</v>
      </c>
      <c r="B48" s="139" t="s">
        <v>463</v>
      </c>
      <c r="C48" s="141">
        <f>9780793</f>
        <v>9780793</v>
      </c>
      <c r="D48" s="43">
        <v>2073288</v>
      </c>
      <c r="E48" s="43">
        <v>127045</v>
      </c>
      <c r="F48" s="43">
        <v>77341</v>
      </c>
      <c r="G48" s="83">
        <v>282203</v>
      </c>
      <c r="H48" s="43">
        <v>50867</v>
      </c>
      <c r="I48" s="43">
        <v>174925</v>
      </c>
      <c r="J48" s="43">
        <f>293443+4128</f>
        <v>297571</v>
      </c>
      <c r="K48" s="124">
        <v>84426</v>
      </c>
      <c r="L48" s="43">
        <v>19232</v>
      </c>
      <c r="M48" s="43">
        <v>39166</v>
      </c>
      <c r="N48" s="43">
        <v>59889</v>
      </c>
      <c r="O48" s="118">
        <f t="shared" si="1"/>
        <v>13066746</v>
      </c>
    </row>
    <row r="49" spans="1:15" ht="15">
      <c r="A49" s="138" t="s">
        <v>178</v>
      </c>
      <c r="B49" s="7" t="s">
        <v>179</v>
      </c>
      <c r="C49" s="140"/>
      <c r="D49" s="43"/>
      <c r="E49" s="43"/>
      <c r="F49" s="81"/>
      <c r="G49" s="43"/>
      <c r="H49" s="43"/>
      <c r="I49" s="43"/>
      <c r="J49" s="43"/>
      <c r="K49" s="43"/>
      <c r="L49" s="43"/>
      <c r="M49" s="81"/>
      <c r="N49" s="43"/>
      <c r="O49" s="118">
        <f t="shared" si="1"/>
        <v>0</v>
      </c>
    </row>
    <row r="50" spans="1:15" ht="15">
      <c r="A50" s="134"/>
      <c r="B50" s="139" t="s">
        <v>50</v>
      </c>
      <c r="C50" s="142">
        <f aca="true" t="shared" si="12" ref="C50:O50">SUM(C47:C48)</f>
        <v>67236177</v>
      </c>
      <c r="D50" s="142">
        <f t="shared" si="12"/>
        <v>4274363</v>
      </c>
      <c r="E50" s="142">
        <f t="shared" si="12"/>
        <v>279515</v>
      </c>
      <c r="F50" s="142">
        <f t="shared" si="12"/>
        <v>329319</v>
      </c>
      <c r="G50" s="142">
        <f t="shared" si="12"/>
        <v>457933</v>
      </c>
      <c r="H50" s="142">
        <f t="shared" si="12"/>
        <v>207167</v>
      </c>
      <c r="I50" s="142">
        <f t="shared" si="12"/>
        <v>336557</v>
      </c>
      <c r="J50" s="142">
        <f t="shared" si="12"/>
        <v>1256699</v>
      </c>
      <c r="K50" s="142">
        <f t="shared" si="12"/>
        <v>149868</v>
      </c>
      <c r="L50" s="142">
        <f t="shared" si="12"/>
        <v>177449</v>
      </c>
      <c r="M50" s="142">
        <f t="shared" si="12"/>
        <v>102289</v>
      </c>
      <c r="N50" s="142">
        <f t="shared" si="12"/>
        <v>201036</v>
      </c>
      <c r="O50" s="142">
        <f t="shared" si="12"/>
        <v>75008372</v>
      </c>
    </row>
    <row r="51" spans="1:15" ht="15">
      <c r="A51" s="225"/>
      <c r="B51" s="243"/>
      <c r="C51" s="244"/>
      <c r="D51" s="225"/>
      <c r="E51" s="225"/>
      <c r="F51" s="225"/>
      <c r="G51" s="227"/>
      <c r="H51" s="227"/>
      <c r="I51" s="227"/>
      <c r="J51" s="227"/>
      <c r="K51" s="227"/>
      <c r="L51" s="227"/>
      <c r="M51" s="227"/>
      <c r="N51" s="227"/>
      <c r="O51" s="227"/>
    </row>
    <row r="52" spans="1:15" ht="15">
      <c r="A52" s="225"/>
      <c r="B52" s="243"/>
      <c r="C52" s="245"/>
      <c r="D52" s="225"/>
      <c r="E52" s="225"/>
      <c r="F52" s="225"/>
      <c r="G52" s="227"/>
      <c r="H52" s="227"/>
      <c r="I52" s="227"/>
      <c r="J52" s="227"/>
      <c r="K52" s="227"/>
      <c r="L52" s="227"/>
      <c r="M52" s="227"/>
      <c r="N52" s="227"/>
      <c r="O52" s="227"/>
    </row>
    <row r="53" spans="1:15" ht="15">
      <c r="A53" s="57"/>
      <c r="B53" s="235" t="s">
        <v>281</v>
      </c>
      <c r="C53" s="57"/>
      <c r="D53" s="57" t="s">
        <v>20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226"/>
    </row>
    <row r="54" spans="1:15" ht="15">
      <c r="A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226"/>
    </row>
    <row r="55" spans="1:15" ht="15">
      <c r="A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226"/>
    </row>
    <row r="56" spans="1:15" ht="15">
      <c r="A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226"/>
    </row>
    <row r="57" spans="1:15" ht="15">
      <c r="A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226"/>
    </row>
    <row r="58" spans="1:15" ht="15">
      <c r="A58" s="225"/>
      <c r="B58" s="243"/>
      <c r="C58" s="57"/>
      <c r="D58" s="246"/>
      <c r="E58" s="247"/>
      <c r="F58" s="247"/>
      <c r="G58" s="57"/>
      <c r="H58" s="57"/>
      <c r="I58" s="57"/>
      <c r="J58" s="57"/>
      <c r="K58" s="57"/>
      <c r="L58" s="57"/>
      <c r="M58" s="57"/>
      <c r="N58" s="248" t="s">
        <v>51</v>
      </c>
      <c r="O58" s="226"/>
    </row>
    <row r="59" spans="1:15" ht="15">
      <c r="A59" s="225"/>
      <c r="B59" s="243"/>
      <c r="C59" s="57"/>
      <c r="D59" s="57"/>
      <c r="E59" s="249"/>
      <c r="F59" s="249"/>
      <c r="G59" s="57"/>
      <c r="H59" s="57"/>
      <c r="I59" s="57"/>
      <c r="J59" s="57"/>
      <c r="K59" s="57"/>
      <c r="L59" s="57"/>
      <c r="M59" s="57"/>
      <c r="N59" s="248" t="s">
        <v>444</v>
      </c>
      <c r="O59" s="226"/>
    </row>
    <row r="60" spans="1:15" ht="15">
      <c r="A60" s="250"/>
      <c r="B60" s="107"/>
      <c r="C60" s="57"/>
      <c r="D60" s="57"/>
      <c r="E60" s="249"/>
      <c r="F60" s="249"/>
      <c r="G60" s="57"/>
      <c r="H60" s="57"/>
      <c r="I60" s="57"/>
      <c r="J60" s="57"/>
      <c r="K60" s="57"/>
      <c r="L60" s="57"/>
      <c r="M60" s="57"/>
      <c r="N60" s="248" t="s">
        <v>555</v>
      </c>
      <c r="O60" s="226"/>
    </row>
    <row r="61" spans="1:15" ht="15">
      <c r="A61" s="250"/>
      <c r="B61" s="107"/>
      <c r="C61" s="57"/>
      <c r="D61" s="57"/>
      <c r="E61" s="249"/>
      <c r="F61" s="249"/>
      <c r="G61" s="57"/>
      <c r="H61" s="57"/>
      <c r="I61" s="57"/>
      <c r="J61" s="57"/>
      <c r="K61" s="57"/>
      <c r="L61" s="57"/>
      <c r="M61" s="57"/>
      <c r="N61" s="57"/>
      <c r="O61" s="226"/>
    </row>
    <row r="62" spans="1:15" ht="39.75" customHeight="1" thickBot="1">
      <c r="A62" s="355" t="s">
        <v>504</v>
      </c>
      <c r="B62" s="355"/>
      <c r="C62" s="355"/>
      <c r="D62" s="355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226"/>
    </row>
    <row r="63" spans="1:15" ht="90.75" thickBot="1">
      <c r="A63" s="143" t="s">
        <v>9</v>
      </c>
      <c r="B63" s="144" t="s">
        <v>135</v>
      </c>
      <c r="C63" s="68" t="s">
        <v>445</v>
      </c>
      <c r="D63" s="145" t="s">
        <v>446</v>
      </c>
      <c r="E63" s="68" t="s">
        <v>447</v>
      </c>
      <c r="F63" s="68" t="s">
        <v>448</v>
      </c>
      <c r="G63" s="146" t="s">
        <v>449</v>
      </c>
      <c r="H63" s="146" t="s">
        <v>450</v>
      </c>
      <c r="I63" s="146" t="s">
        <v>451</v>
      </c>
      <c r="J63" s="146" t="s">
        <v>452</v>
      </c>
      <c r="K63" s="146" t="s">
        <v>453</v>
      </c>
      <c r="L63" s="146" t="s">
        <v>454</v>
      </c>
      <c r="M63" s="146" t="s">
        <v>455</v>
      </c>
      <c r="N63" s="147" t="s">
        <v>456</v>
      </c>
      <c r="O63" s="148" t="s">
        <v>457</v>
      </c>
    </row>
    <row r="64" spans="1:15" ht="15.75" thickBot="1">
      <c r="A64" s="149" t="s">
        <v>52</v>
      </c>
      <c r="B64" s="72" t="s">
        <v>53</v>
      </c>
      <c r="C64" s="74">
        <f>C65+C66+C67+C69+C70+C74</f>
        <v>3997659</v>
      </c>
      <c r="D64" s="74">
        <f aca="true" t="shared" si="13" ref="D64:N64">D65+D66+D67+D69+D70+D74</f>
        <v>0</v>
      </c>
      <c r="E64" s="74">
        <f t="shared" si="13"/>
        <v>0</v>
      </c>
      <c r="F64" s="74">
        <f t="shared" si="13"/>
        <v>0</v>
      </c>
      <c r="G64" s="74">
        <f t="shared" si="13"/>
        <v>151143</v>
      </c>
      <c r="H64" s="74">
        <f t="shared" si="13"/>
        <v>83505</v>
      </c>
      <c r="I64" s="74">
        <f t="shared" si="13"/>
        <v>116814</v>
      </c>
      <c r="J64" s="74">
        <f t="shared" si="13"/>
        <v>159202</v>
      </c>
      <c r="K64" s="74">
        <f t="shared" si="13"/>
        <v>110380</v>
      </c>
      <c r="L64" s="74">
        <f t="shared" si="13"/>
        <v>62561</v>
      </c>
      <c r="M64" s="74">
        <f t="shared" si="13"/>
        <v>67914</v>
      </c>
      <c r="N64" s="74">
        <f t="shared" si="13"/>
        <v>138028</v>
      </c>
      <c r="O64" s="75">
        <f>SUM(C64:N64)</f>
        <v>4887206</v>
      </c>
    </row>
    <row r="65" spans="1:15" ht="29.25">
      <c r="A65" s="150" t="s">
        <v>190</v>
      </c>
      <c r="B65" s="151" t="s">
        <v>191</v>
      </c>
      <c r="C65" s="152">
        <f>2848722+11513+8246</f>
        <v>2868481</v>
      </c>
      <c r="D65" s="78"/>
      <c r="E65" s="78"/>
      <c r="F65" s="53"/>
      <c r="G65" s="62">
        <v>151091</v>
      </c>
      <c r="H65" s="153">
        <v>83325</v>
      </c>
      <c r="I65" s="62">
        <v>116464</v>
      </c>
      <c r="J65" s="153">
        <v>159050</v>
      </c>
      <c r="K65" s="62">
        <v>110380</v>
      </c>
      <c r="L65" s="62">
        <v>62501</v>
      </c>
      <c r="M65" s="62">
        <v>67614</v>
      </c>
      <c r="N65" s="154">
        <v>137505</v>
      </c>
      <c r="O65" s="155">
        <f>SUM(C65:N65)</f>
        <v>3756411</v>
      </c>
    </row>
    <row r="66" spans="1:15" ht="29.25">
      <c r="A66" s="156" t="s">
        <v>390</v>
      </c>
      <c r="B66" s="151" t="s">
        <v>548</v>
      </c>
      <c r="C66" s="152">
        <v>3160</v>
      </c>
      <c r="D66" s="52"/>
      <c r="E66" s="78"/>
      <c r="F66" s="52"/>
      <c r="G66" s="118"/>
      <c r="H66" s="118"/>
      <c r="I66" s="118"/>
      <c r="J66" s="154"/>
      <c r="K66" s="152"/>
      <c r="L66" s="152"/>
      <c r="M66" s="61"/>
      <c r="N66" s="154"/>
      <c r="O66" s="79">
        <f>SUM(C66:N66)</f>
        <v>3160</v>
      </c>
    </row>
    <row r="67" spans="1:15" ht="15">
      <c r="A67" s="157" t="s">
        <v>54</v>
      </c>
      <c r="B67" s="120" t="s">
        <v>55</v>
      </c>
      <c r="C67" s="123">
        <f>SUM(C68:C68)</f>
        <v>144787</v>
      </c>
      <c r="D67" s="123">
        <f>SUM(D68:D68)</f>
        <v>0</v>
      </c>
      <c r="E67" s="61"/>
      <c r="F67" s="123"/>
      <c r="G67" s="61">
        <f aca="true" t="shared" si="14" ref="G67:N67">SUM(G68:G68)</f>
        <v>52</v>
      </c>
      <c r="H67" s="61">
        <f t="shared" si="14"/>
        <v>180</v>
      </c>
      <c r="I67" s="61">
        <f t="shared" si="14"/>
        <v>350</v>
      </c>
      <c r="J67" s="123">
        <f t="shared" si="14"/>
        <v>152</v>
      </c>
      <c r="K67" s="123">
        <f t="shared" si="14"/>
        <v>0</v>
      </c>
      <c r="L67" s="123">
        <f t="shared" si="14"/>
        <v>60</v>
      </c>
      <c r="M67" s="123">
        <f t="shared" si="14"/>
        <v>300</v>
      </c>
      <c r="N67" s="123">
        <f t="shared" si="14"/>
        <v>523</v>
      </c>
      <c r="O67" s="158">
        <f aca="true" t="shared" si="15" ref="O67:O133">SUM(C67:N67)</f>
        <v>146404</v>
      </c>
    </row>
    <row r="68" spans="1:15" ht="30">
      <c r="A68" s="80" t="s">
        <v>56</v>
      </c>
      <c r="B68" s="51" t="s">
        <v>57</v>
      </c>
      <c r="C68" s="81">
        <v>144787</v>
      </c>
      <c r="D68" s="43"/>
      <c r="E68" s="43"/>
      <c r="F68" s="81"/>
      <c r="G68" s="43">
        <v>52</v>
      </c>
      <c r="H68" s="43">
        <v>180</v>
      </c>
      <c r="I68" s="43">
        <v>350</v>
      </c>
      <c r="J68" s="43">
        <v>152</v>
      </c>
      <c r="K68" s="43"/>
      <c r="L68" s="43">
        <v>60</v>
      </c>
      <c r="M68" s="43">
        <v>300</v>
      </c>
      <c r="N68" s="43">
        <v>523</v>
      </c>
      <c r="O68" s="158">
        <f t="shared" si="15"/>
        <v>146404</v>
      </c>
    </row>
    <row r="69" spans="1:15" ht="29.25">
      <c r="A69" s="157" t="s">
        <v>192</v>
      </c>
      <c r="B69" s="159" t="s">
        <v>193</v>
      </c>
      <c r="C69" s="81">
        <f>14800+86657-16176</f>
        <v>85281</v>
      </c>
      <c r="D69" s="81"/>
      <c r="E69" s="43"/>
      <c r="F69" s="81"/>
      <c r="G69" s="43"/>
      <c r="H69" s="43"/>
      <c r="I69" s="43"/>
      <c r="J69" s="81"/>
      <c r="K69" s="81"/>
      <c r="L69" s="81"/>
      <c r="M69" s="81"/>
      <c r="N69" s="81"/>
      <c r="O69" s="158">
        <f t="shared" si="15"/>
        <v>85281</v>
      </c>
    </row>
    <row r="70" spans="1:15" ht="29.25">
      <c r="A70" s="157" t="s">
        <v>58</v>
      </c>
      <c r="B70" s="159" t="s">
        <v>59</v>
      </c>
      <c r="C70" s="123">
        <f>SUM(C71:C73)</f>
        <v>895950</v>
      </c>
      <c r="D70" s="123">
        <f aca="true" t="shared" si="16" ref="D70:N70">SUM(D71:D73)</f>
        <v>0</v>
      </c>
      <c r="E70" s="123">
        <f t="shared" si="16"/>
        <v>0</v>
      </c>
      <c r="F70" s="123">
        <f t="shared" si="16"/>
        <v>0</v>
      </c>
      <c r="G70" s="61">
        <f t="shared" si="16"/>
        <v>0</v>
      </c>
      <c r="H70" s="123">
        <f t="shared" si="16"/>
        <v>0</v>
      </c>
      <c r="I70" s="123">
        <f t="shared" si="16"/>
        <v>0</v>
      </c>
      <c r="J70" s="123">
        <f t="shared" si="16"/>
        <v>0</v>
      </c>
      <c r="K70" s="123">
        <f t="shared" si="16"/>
        <v>0</v>
      </c>
      <c r="L70" s="123">
        <f t="shared" si="16"/>
        <v>0</v>
      </c>
      <c r="M70" s="123">
        <f t="shared" si="16"/>
        <v>0</v>
      </c>
      <c r="N70" s="123">
        <f t="shared" si="16"/>
        <v>0</v>
      </c>
      <c r="O70" s="158">
        <f>SUM(C70:N70)</f>
        <v>895950</v>
      </c>
    </row>
    <row r="71" spans="1:15" ht="30">
      <c r="A71" s="160" t="s">
        <v>322</v>
      </c>
      <c r="B71" s="51" t="s">
        <v>60</v>
      </c>
      <c r="C71" s="81">
        <f>600000+444</f>
        <v>600444</v>
      </c>
      <c r="D71" s="43"/>
      <c r="E71" s="43"/>
      <c r="F71" s="81"/>
      <c r="G71" s="43"/>
      <c r="H71" s="43"/>
      <c r="I71" s="43"/>
      <c r="J71" s="43"/>
      <c r="K71" s="43"/>
      <c r="L71" s="43"/>
      <c r="M71" s="43"/>
      <c r="N71" s="81"/>
      <c r="O71" s="158">
        <f t="shared" si="15"/>
        <v>600444</v>
      </c>
    </row>
    <row r="72" spans="1:15" ht="30">
      <c r="A72" s="160" t="s">
        <v>323</v>
      </c>
      <c r="B72" s="51" t="s">
        <v>279</v>
      </c>
      <c r="C72" s="161">
        <v>145506</v>
      </c>
      <c r="D72" s="43"/>
      <c r="E72" s="43"/>
      <c r="F72" s="81"/>
      <c r="G72" s="43"/>
      <c r="H72" s="43">
        <f>17331-17331</f>
        <v>0</v>
      </c>
      <c r="I72" s="43"/>
      <c r="J72" s="43"/>
      <c r="K72" s="43"/>
      <c r="L72" s="43"/>
      <c r="M72" s="43"/>
      <c r="N72" s="81">
        <f>12000-12000</f>
        <v>0</v>
      </c>
      <c r="O72" s="158">
        <f t="shared" si="15"/>
        <v>145506</v>
      </c>
    </row>
    <row r="73" spans="1:15" ht="45">
      <c r="A73" s="160" t="s">
        <v>324</v>
      </c>
      <c r="B73" s="96" t="s">
        <v>391</v>
      </c>
      <c r="C73" s="98">
        <v>150000</v>
      </c>
      <c r="D73" s="94"/>
      <c r="E73" s="94"/>
      <c r="F73" s="98"/>
      <c r="G73" s="94"/>
      <c r="H73" s="94"/>
      <c r="I73" s="94"/>
      <c r="J73" s="94"/>
      <c r="K73" s="94"/>
      <c r="L73" s="94"/>
      <c r="M73" s="94"/>
      <c r="N73" s="98"/>
      <c r="O73" s="158">
        <f t="shared" si="15"/>
        <v>150000</v>
      </c>
    </row>
    <row r="74" spans="1:15" s="239" customFormat="1" ht="15" thickBot="1">
      <c r="A74" s="162" t="s">
        <v>61</v>
      </c>
      <c r="B74" s="163" t="s">
        <v>194</v>
      </c>
      <c r="C74" s="165">
        <v>0</v>
      </c>
      <c r="D74" s="166"/>
      <c r="E74" s="166"/>
      <c r="F74" s="164"/>
      <c r="G74" s="167"/>
      <c r="H74" s="166"/>
      <c r="I74" s="166"/>
      <c r="J74" s="166"/>
      <c r="K74" s="166"/>
      <c r="L74" s="166"/>
      <c r="M74" s="166"/>
      <c r="N74" s="164"/>
      <c r="O74" s="168">
        <f t="shared" si="15"/>
        <v>0</v>
      </c>
    </row>
    <row r="75" spans="1:15" ht="15.75" thickBot="1">
      <c r="A75" s="110" t="s">
        <v>62</v>
      </c>
      <c r="B75" s="72" t="s">
        <v>63</v>
      </c>
      <c r="C75" s="74">
        <f>SUM(C76:C77,C79:C80)</f>
        <v>874819</v>
      </c>
      <c r="D75" s="74">
        <f aca="true" t="shared" si="17" ref="D75:N75">SUM(D76:D77,D79:D80)</f>
        <v>0</v>
      </c>
      <c r="E75" s="74">
        <f t="shared" si="17"/>
        <v>0</v>
      </c>
      <c r="F75" s="74">
        <f t="shared" si="17"/>
        <v>0</v>
      </c>
      <c r="G75" s="74">
        <f t="shared" si="17"/>
        <v>7382</v>
      </c>
      <c r="H75" s="74">
        <f t="shared" si="17"/>
        <v>0</v>
      </c>
      <c r="I75" s="74">
        <f t="shared" si="17"/>
        <v>0</v>
      </c>
      <c r="J75" s="74">
        <f t="shared" si="17"/>
        <v>5200</v>
      </c>
      <c r="K75" s="74">
        <f t="shared" si="17"/>
        <v>0</v>
      </c>
      <c r="L75" s="74">
        <f t="shared" si="17"/>
        <v>0</v>
      </c>
      <c r="M75" s="74">
        <f t="shared" si="17"/>
        <v>0</v>
      </c>
      <c r="N75" s="74">
        <f t="shared" si="17"/>
        <v>615</v>
      </c>
      <c r="O75" s="75">
        <f t="shared" si="15"/>
        <v>888016</v>
      </c>
    </row>
    <row r="76" spans="1:15" ht="15">
      <c r="A76" s="150" t="s">
        <v>195</v>
      </c>
      <c r="B76" s="151" t="s">
        <v>18</v>
      </c>
      <c r="C76" s="169">
        <f>594629-30000</f>
        <v>564629</v>
      </c>
      <c r="D76" s="78"/>
      <c r="E76" s="78"/>
      <c r="F76" s="52"/>
      <c r="G76" s="78"/>
      <c r="H76" s="78"/>
      <c r="I76" s="78"/>
      <c r="J76" s="78"/>
      <c r="K76" s="78"/>
      <c r="L76" s="78"/>
      <c r="M76" s="78"/>
      <c r="N76" s="52"/>
      <c r="O76" s="155">
        <f t="shared" si="15"/>
        <v>564629</v>
      </c>
    </row>
    <row r="77" spans="1:15" ht="29.25">
      <c r="A77" s="170" t="s">
        <v>269</v>
      </c>
      <c r="B77" s="171" t="s">
        <v>271</v>
      </c>
      <c r="C77" s="123">
        <f aca="true" t="shared" si="18" ref="C77:N77">SUM(C78:C78)</f>
        <v>213172</v>
      </c>
      <c r="D77" s="123">
        <f t="shared" si="18"/>
        <v>0</v>
      </c>
      <c r="E77" s="123">
        <f t="shared" si="18"/>
        <v>0</v>
      </c>
      <c r="F77" s="123">
        <f t="shared" si="18"/>
        <v>0</v>
      </c>
      <c r="G77" s="123">
        <f t="shared" si="18"/>
        <v>0</v>
      </c>
      <c r="H77" s="123">
        <f t="shared" si="18"/>
        <v>0</v>
      </c>
      <c r="I77" s="123">
        <f t="shared" si="18"/>
        <v>0</v>
      </c>
      <c r="J77" s="123">
        <f t="shared" si="18"/>
        <v>0</v>
      </c>
      <c r="K77" s="123">
        <f t="shared" si="18"/>
        <v>0</v>
      </c>
      <c r="L77" s="123">
        <f t="shared" si="18"/>
        <v>0</v>
      </c>
      <c r="M77" s="123">
        <f t="shared" si="18"/>
        <v>0</v>
      </c>
      <c r="N77" s="172">
        <f t="shared" si="18"/>
        <v>0</v>
      </c>
      <c r="O77" s="79">
        <f>SUM(C77:N77)</f>
        <v>213172</v>
      </c>
    </row>
    <row r="78" spans="1:15" ht="30">
      <c r="A78" s="173" t="s">
        <v>325</v>
      </c>
      <c r="B78" s="174" t="s">
        <v>542</v>
      </c>
      <c r="C78" s="175">
        <f>1725+211447</f>
        <v>213172</v>
      </c>
      <c r="D78" s="108"/>
      <c r="E78" s="108"/>
      <c r="F78" s="109"/>
      <c r="G78" s="108"/>
      <c r="H78" s="108"/>
      <c r="I78" s="108"/>
      <c r="J78" s="108"/>
      <c r="K78" s="108"/>
      <c r="L78" s="108"/>
      <c r="M78" s="108"/>
      <c r="N78" s="109"/>
      <c r="O78" s="158">
        <f t="shared" si="15"/>
        <v>213172</v>
      </c>
    </row>
    <row r="79" spans="1:15" s="239" customFormat="1" ht="28.5">
      <c r="A79" s="176" t="s">
        <v>64</v>
      </c>
      <c r="B79" s="120" t="s">
        <v>196</v>
      </c>
      <c r="C79" s="61">
        <v>35018</v>
      </c>
      <c r="D79" s="61"/>
      <c r="E79" s="61"/>
      <c r="F79" s="123"/>
      <c r="G79" s="61">
        <v>7382</v>
      </c>
      <c r="H79" s="61"/>
      <c r="I79" s="61"/>
      <c r="J79" s="61">
        <v>5200</v>
      </c>
      <c r="K79" s="61"/>
      <c r="L79" s="61"/>
      <c r="M79" s="61"/>
      <c r="N79" s="172">
        <v>615</v>
      </c>
      <c r="O79" s="158">
        <f t="shared" si="15"/>
        <v>48215</v>
      </c>
    </row>
    <row r="80" spans="1:15" s="239" customFormat="1" ht="15" thickBot="1">
      <c r="A80" s="177" t="s">
        <v>362</v>
      </c>
      <c r="B80" s="178" t="s">
        <v>363</v>
      </c>
      <c r="C80" s="179">
        <v>62000</v>
      </c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58">
        <f t="shared" si="15"/>
        <v>62000</v>
      </c>
    </row>
    <row r="81" spans="1:15" ht="15.75" thickBot="1">
      <c r="A81" s="110" t="s">
        <v>1</v>
      </c>
      <c r="B81" s="72" t="s">
        <v>65</v>
      </c>
      <c r="C81" s="74">
        <f aca="true" t="shared" si="19" ref="C81:N81">SUM(C82,C90,C94:C96,C115,C117)</f>
        <v>13898737</v>
      </c>
      <c r="D81" s="74">
        <f t="shared" si="19"/>
        <v>193410</v>
      </c>
      <c r="E81" s="74">
        <f t="shared" si="19"/>
        <v>0</v>
      </c>
      <c r="F81" s="74">
        <f t="shared" si="19"/>
        <v>0</v>
      </c>
      <c r="G81" s="74">
        <f t="shared" si="19"/>
        <v>169338</v>
      </c>
      <c r="H81" s="74">
        <f t="shared" si="19"/>
        <v>66543</v>
      </c>
      <c r="I81" s="74">
        <f t="shared" si="19"/>
        <v>133563</v>
      </c>
      <c r="J81" s="74">
        <f t="shared" si="19"/>
        <v>147108</v>
      </c>
      <c r="K81" s="74">
        <f t="shared" si="19"/>
        <v>43866</v>
      </c>
      <c r="L81" s="74">
        <f t="shared" si="19"/>
        <v>53069</v>
      </c>
      <c r="M81" s="74">
        <f t="shared" si="19"/>
        <v>42916</v>
      </c>
      <c r="N81" s="74">
        <f t="shared" si="19"/>
        <v>51331</v>
      </c>
      <c r="O81" s="75">
        <f>SUM(C81:N81)</f>
        <v>14799881</v>
      </c>
    </row>
    <row r="82" spans="1:15" ht="15">
      <c r="A82" s="150" t="s">
        <v>66</v>
      </c>
      <c r="B82" s="118" t="s">
        <v>67</v>
      </c>
      <c r="C82" s="152">
        <f>SUM(C83:C89)</f>
        <v>5238773</v>
      </c>
      <c r="D82" s="152">
        <f aca="true" t="shared" si="20" ref="D82:N82">SUM(D83:D89)</f>
        <v>0</v>
      </c>
      <c r="E82" s="152">
        <f t="shared" si="20"/>
        <v>0</v>
      </c>
      <c r="F82" s="152">
        <f t="shared" si="20"/>
        <v>0</v>
      </c>
      <c r="G82" s="118">
        <f t="shared" si="20"/>
        <v>0</v>
      </c>
      <c r="H82" s="152">
        <f t="shared" si="20"/>
        <v>0</v>
      </c>
      <c r="I82" s="152">
        <f t="shared" si="20"/>
        <v>0</v>
      </c>
      <c r="J82" s="152">
        <f t="shared" si="20"/>
        <v>0</v>
      </c>
      <c r="K82" s="152">
        <f t="shared" si="20"/>
        <v>0</v>
      </c>
      <c r="L82" s="152">
        <f t="shared" si="20"/>
        <v>0</v>
      </c>
      <c r="M82" s="152">
        <f t="shared" si="20"/>
        <v>0</v>
      </c>
      <c r="N82" s="152">
        <f t="shared" si="20"/>
        <v>0</v>
      </c>
      <c r="O82" s="155">
        <f aca="true" t="shared" si="21" ref="O82:O93">SUM(C82:N82)</f>
        <v>5238773</v>
      </c>
    </row>
    <row r="83" spans="1:15" ht="15">
      <c r="A83" s="180" t="s">
        <v>197</v>
      </c>
      <c r="B83" s="78" t="s">
        <v>198</v>
      </c>
      <c r="C83" s="169">
        <f>15000-645-215</f>
        <v>14140</v>
      </c>
      <c r="D83" s="78"/>
      <c r="E83" s="78"/>
      <c r="F83" s="52"/>
      <c r="G83" s="78"/>
      <c r="H83" s="78"/>
      <c r="I83" s="78"/>
      <c r="J83" s="78"/>
      <c r="K83" s="78"/>
      <c r="L83" s="78"/>
      <c r="M83" s="78"/>
      <c r="N83" s="52"/>
      <c r="O83" s="181">
        <f t="shared" si="21"/>
        <v>14140</v>
      </c>
    </row>
    <row r="84" spans="1:15" ht="30">
      <c r="A84" s="180" t="s">
        <v>326</v>
      </c>
      <c r="B84" s="63" t="s">
        <v>392</v>
      </c>
      <c r="C84" s="52">
        <f>69650</f>
        <v>69650</v>
      </c>
      <c r="D84" s="78"/>
      <c r="E84" s="78"/>
      <c r="F84" s="52"/>
      <c r="G84" s="78"/>
      <c r="H84" s="78"/>
      <c r="I84" s="78"/>
      <c r="J84" s="78"/>
      <c r="K84" s="78"/>
      <c r="L84" s="78"/>
      <c r="M84" s="78"/>
      <c r="N84" s="52"/>
      <c r="O84" s="182">
        <f t="shared" si="21"/>
        <v>69650</v>
      </c>
    </row>
    <row r="85" spans="1:15" ht="15">
      <c r="A85" s="180" t="s">
        <v>327</v>
      </c>
      <c r="B85" s="183" t="s">
        <v>312</v>
      </c>
      <c r="C85" s="169">
        <f>5000-5000</f>
        <v>0</v>
      </c>
      <c r="D85" s="78"/>
      <c r="E85" s="78"/>
      <c r="F85" s="52"/>
      <c r="G85" s="78"/>
      <c r="H85" s="78"/>
      <c r="I85" s="78"/>
      <c r="J85" s="78"/>
      <c r="K85" s="78"/>
      <c r="L85" s="78"/>
      <c r="M85" s="78"/>
      <c r="N85" s="52"/>
      <c r="O85" s="182">
        <f t="shared" si="21"/>
        <v>0</v>
      </c>
    </row>
    <row r="86" spans="1:15" ht="30">
      <c r="A86" s="36" t="s">
        <v>286</v>
      </c>
      <c r="B86" s="18" t="s">
        <v>354</v>
      </c>
      <c r="C86" s="52">
        <f>4910782+5983</f>
        <v>4916765</v>
      </c>
      <c r="D86" s="78"/>
      <c r="E86" s="78"/>
      <c r="F86" s="52"/>
      <c r="G86" s="78"/>
      <c r="H86" s="78"/>
      <c r="I86" s="78"/>
      <c r="J86" s="78"/>
      <c r="K86" s="78"/>
      <c r="L86" s="78"/>
      <c r="M86" s="78"/>
      <c r="N86" s="52"/>
      <c r="O86" s="182">
        <f t="shared" si="21"/>
        <v>4916765</v>
      </c>
    </row>
    <row r="87" spans="1:15" ht="15">
      <c r="A87" s="36" t="s">
        <v>364</v>
      </c>
      <c r="B87" s="18" t="s">
        <v>365</v>
      </c>
      <c r="C87" s="52">
        <v>157388</v>
      </c>
      <c r="D87" s="78"/>
      <c r="E87" s="78"/>
      <c r="F87" s="52"/>
      <c r="G87" s="78"/>
      <c r="H87" s="78"/>
      <c r="I87" s="78"/>
      <c r="J87" s="78"/>
      <c r="K87" s="78"/>
      <c r="L87" s="78"/>
      <c r="M87" s="78"/>
      <c r="N87" s="52"/>
      <c r="O87" s="182">
        <f t="shared" si="21"/>
        <v>157388</v>
      </c>
    </row>
    <row r="88" spans="1:15" ht="30">
      <c r="A88" s="36" t="s">
        <v>383</v>
      </c>
      <c r="B88" s="35" t="s">
        <v>393</v>
      </c>
      <c r="C88" s="52"/>
      <c r="D88" s="78"/>
      <c r="E88" s="78"/>
      <c r="F88" s="52"/>
      <c r="G88" s="78"/>
      <c r="H88" s="78"/>
      <c r="I88" s="78"/>
      <c r="J88" s="78"/>
      <c r="K88" s="78"/>
      <c r="L88" s="78"/>
      <c r="M88" s="78"/>
      <c r="N88" s="52"/>
      <c r="O88" s="182">
        <f t="shared" si="21"/>
        <v>0</v>
      </c>
    </row>
    <row r="89" spans="1:15" ht="15">
      <c r="A89" s="36" t="s">
        <v>394</v>
      </c>
      <c r="B89" s="35" t="s">
        <v>395</v>
      </c>
      <c r="C89" s="52">
        <v>80830</v>
      </c>
      <c r="D89" s="78"/>
      <c r="E89" s="78"/>
      <c r="F89" s="52"/>
      <c r="G89" s="78"/>
      <c r="H89" s="78"/>
      <c r="I89" s="78"/>
      <c r="J89" s="78"/>
      <c r="K89" s="78"/>
      <c r="L89" s="78"/>
      <c r="M89" s="78"/>
      <c r="N89" s="52"/>
      <c r="O89" s="182">
        <f t="shared" si="21"/>
        <v>80830</v>
      </c>
    </row>
    <row r="90" spans="1:15" ht="15">
      <c r="A90" s="157" t="s">
        <v>68</v>
      </c>
      <c r="B90" s="120" t="s">
        <v>199</v>
      </c>
      <c r="C90" s="123">
        <f>SUM(C91:C93)</f>
        <v>2076763</v>
      </c>
      <c r="D90" s="123">
        <f aca="true" t="shared" si="22" ref="D90:N90">SUM(D91:D93)</f>
        <v>0</v>
      </c>
      <c r="E90" s="123">
        <f t="shared" si="22"/>
        <v>0</v>
      </c>
      <c r="F90" s="123">
        <f t="shared" si="22"/>
        <v>0</v>
      </c>
      <c r="G90" s="123">
        <f t="shared" si="22"/>
        <v>0</v>
      </c>
      <c r="H90" s="123">
        <f t="shared" si="22"/>
        <v>0</v>
      </c>
      <c r="I90" s="123">
        <f t="shared" si="22"/>
        <v>0</v>
      </c>
      <c r="J90" s="123">
        <f t="shared" si="22"/>
        <v>0</v>
      </c>
      <c r="K90" s="123">
        <f t="shared" si="22"/>
        <v>0</v>
      </c>
      <c r="L90" s="123">
        <f t="shared" si="22"/>
        <v>0</v>
      </c>
      <c r="M90" s="123">
        <f t="shared" si="22"/>
        <v>230</v>
      </c>
      <c r="N90" s="123">
        <f t="shared" si="22"/>
        <v>0</v>
      </c>
      <c r="O90" s="158">
        <f>SUM(C90:N90)</f>
        <v>2076993</v>
      </c>
    </row>
    <row r="91" spans="1:15" ht="15">
      <c r="A91" s="180" t="s">
        <v>287</v>
      </c>
      <c r="B91" s="184" t="s">
        <v>464</v>
      </c>
      <c r="C91" s="152"/>
      <c r="D91" s="61"/>
      <c r="E91" s="61"/>
      <c r="F91" s="123"/>
      <c r="G91" s="43"/>
      <c r="H91" s="43"/>
      <c r="I91" s="43"/>
      <c r="J91" s="43"/>
      <c r="K91" s="43"/>
      <c r="L91" s="43"/>
      <c r="M91" s="43">
        <v>230</v>
      </c>
      <c r="N91" s="81"/>
      <c r="O91" s="182">
        <f t="shared" si="21"/>
        <v>230</v>
      </c>
    </row>
    <row r="92" spans="1:15" ht="47.25">
      <c r="A92" s="180" t="s">
        <v>396</v>
      </c>
      <c r="B92" s="37" t="s">
        <v>397</v>
      </c>
      <c r="C92" s="52">
        <v>107995</v>
      </c>
      <c r="D92" s="61"/>
      <c r="E92" s="61"/>
      <c r="F92" s="123"/>
      <c r="G92" s="43"/>
      <c r="H92" s="43"/>
      <c r="I92" s="43"/>
      <c r="J92" s="43"/>
      <c r="K92" s="43"/>
      <c r="L92" s="43"/>
      <c r="M92" s="43"/>
      <c r="N92" s="81"/>
      <c r="O92" s="182">
        <f t="shared" si="21"/>
        <v>107995</v>
      </c>
    </row>
    <row r="93" spans="1:15" ht="75">
      <c r="A93" s="180" t="s">
        <v>288</v>
      </c>
      <c r="B93" s="185" t="s">
        <v>465</v>
      </c>
      <c r="C93" s="52">
        <f>1916612+260000-207844</f>
        <v>1968768</v>
      </c>
      <c r="D93" s="61"/>
      <c r="E93" s="61"/>
      <c r="F93" s="123"/>
      <c r="G93" s="43"/>
      <c r="H93" s="43"/>
      <c r="I93" s="43"/>
      <c r="J93" s="43"/>
      <c r="K93" s="43"/>
      <c r="L93" s="43"/>
      <c r="M93" s="43"/>
      <c r="N93" s="81"/>
      <c r="O93" s="182">
        <f t="shared" si="21"/>
        <v>1968768</v>
      </c>
    </row>
    <row r="94" spans="1:15" ht="15">
      <c r="A94" s="150" t="s">
        <v>69</v>
      </c>
      <c r="B94" s="151" t="s">
        <v>70</v>
      </c>
      <c r="C94" s="152"/>
      <c r="D94" s="43"/>
      <c r="E94" s="43"/>
      <c r="F94" s="81"/>
      <c r="G94" s="43"/>
      <c r="H94" s="43"/>
      <c r="I94" s="43"/>
      <c r="J94" s="43">
        <v>580</v>
      </c>
      <c r="K94" s="43">
        <v>500</v>
      </c>
      <c r="L94" s="43"/>
      <c r="M94" s="43"/>
      <c r="N94" s="81"/>
      <c r="O94" s="158">
        <f t="shared" si="15"/>
        <v>1080</v>
      </c>
    </row>
    <row r="95" spans="1:15" ht="15">
      <c r="A95" s="150" t="s">
        <v>328</v>
      </c>
      <c r="B95" s="151" t="s">
        <v>149</v>
      </c>
      <c r="C95" s="152">
        <v>305742</v>
      </c>
      <c r="D95" s="81"/>
      <c r="E95" s="43"/>
      <c r="F95" s="81"/>
      <c r="G95" s="43"/>
      <c r="H95" s="43"/>
      <c r="I95" s="43"/>
      <c r="J95" s="43">
        <v>464</v>
      </c>
      <c r="K95" s="81"/>
      <c r="L95" s="81"/>
      <c r="M95" s="81"/>
      <c r="N95" s="81"/>
      <c r="O95" s="158">
        <f t="shared" si="15"/>
        <v>306206</v>
      </c>
    </row>
    <row r="96" spans="1:15" ht="15">
      <c r="A96" s="157" t="s">
        <v>71</v>
      </c>
      <c r="B96" s="120" t="s">
        <v>72</v>
      </c>
      <c r="C96" s="123">
        <f aca="true" t="shared" si="23" ref="C96:N96">SUM(C97:C114)</f>
        <v>6111007</v>
      </c>
      <c r="D96" s="123">
        <f t="shared" si="23"/>
        <v>193410</v>
      </c>
      <c r="E96" s="123">
        <f t="shared" si="23"/>
        <v>0</v>
      </c>
      <c r="F96" s="123">
        <f t="shared" si="23"/>
        <v>0</v>
      </c>
      <c r="G96" s="123">
        <f t="shared" si="23"/>
        <v>169338</v>
      </c>
      <c r="H96" s="123">
        <f t="shared" si="23"/>
        <v>66543</v>
      </c>
      <c r="I96" s="123">
        <f t="shared" si="23"/>
        <v>133563</v>
      </c>
      <c r="J96" s="123">
        <f t="shared" si="23"/>
        <v>146064</v>
      </c>
      <c r="K96" s="123">
        <f t="shared" si="23"/>
        <v>43366</v>
      </c>
      <c r="L96" s="123">
        <f t="shared" si="23"/>
        <v>53069</v>
      </c>
      <c r="M96" s="123">
        <f t="shared" si="23"/>
        <v>42686</v>
      </c>
      <c r="N96" s="123">
        <f t="shared" si="23"/>
        <v>51331</v>
      </c>
      <c r="O96" s="158">
        <f t="shared" si="15"/>
        <v>7010377</v>
      </c>
    </row>
    <row r="97" spans="1:15" ht="15">
      <c r="A97" s="186" t="s">
        <v>353</v>
      </c>
      <c r="B97" s="51" t="s">
        <v>73</v>
      </c>
      <c r="C97" s="81">
        <f>1628921-18000-6568+83000</f>
        <v>1687353</v>
      </c>
      <c r="D97" s="43"/>
      <c r="E97" s="43"/>
      <c r="F97" s="81"/>
      <c r="G97" s="43"/>
      <c r="H97" s="43">
        <v>36246</v>
      </c>
      <c r="I97" s="43">
        <v>120729</v>
      </c>
      <c r="J97" s="43"/>
      <c r="K97" s="43">
        <v>43366</v>
      </c>
      <c r="L97" s="43">
        <v>53069</v>
      </c>
      <c r="M97" s="43">
        <v>42686</v>
      </c>
      <c r="N97" s="81"/>
      <c r="O97" s="158">
        <f t="shared" si="15"/>
        <v>1983449</v>
      </c>
    </row>
    <row r="98" spans="1:15" ht="30">
      <c r="A98" s="80" t="s">
        <v>466</v>
      </c>
      <c r="B98" s="187" t="s">
        <v>534</v>
      </c>
      <c r="C98" s="81">
        <v>77500</v>
      </c>
      <c r="D98" s="43"/>
      <c r="E98" s="43"/>
      <c r="F98" s="81"/>
      <c r="G98" s="43"/>
      <c r="H98" s="43"/>
      <c r="I98" s="43"/>
      <c r="J98" s="43"/>
      <c r="K98" s="43"/>
      <c r="L98" s="43"/>
      <c r="M98" s="43"/>
      <c r="N98" s="85"/>
      <c r="O98" s="158">
        <f t="shared" si="15"/>
        <v>77500</v>
      </c>
    </row>
    <row r="99" spans="1:15" ht="30">
      <c r="A99" s="80" t="s">
        <v>467</v>
      </c>
      <c r="B99" s="26" t="s">
        <v>533</v>
      </c>
      <c r="C99" s="81">
        <f>87000+11700</f>
        <v>98700</v>
      </c>
      <c r="D99" s="43"/>
      <c r="E99" s="43"/>
      <c r="F99" s="81"/>
      <c r="G99" s="43"/>
      <c r="H99" s="43"/>
      <c r="I99" s="43"/>
      <c r="J99" s="43"/>
      <c r="K99" s="43"/>
      <c r="L99" s="43"/>
      <c r="M99" s="43"/>
      <c r="N99" s="85"/>
      <c r="O99" s="158">
        <f t="shared" si="15"/>
        <v>98700</v>
      </c>
    </row>
    <row r="100" spans="1:15" ht="15">
      <c r="A100" s="80" t="s">
        <v>200</v>
      </c>
      <c r="B100" s="188" t="s">
        <v>201</v>
      </c>
      <c r="C100" s="81"/>
      <c r="D100" s="43">
        <v>193410</v>
      </c>
      <c r="E100" s="43"/>
      <c r="F100" s="81"/>
      <c r="G100" s="43">
        <v>169338</v>
      </c>
      <c r="H100" s="43">
        <v>30297</v>
      </c>
      <c r="I100" s="43">
        <v>12834</v>
      </c>
      <c r="J100" s="43">
        <v>121711</v>
      </c>
      <c r="K100" s="43"/>
      <c r="L100" s="43"/>
      <c r="M100" s="43"/>
      <c r="N100" s="87">
        <v>51331</v>
      </c>
      <c r="O100" s="158">
        <f t="shared" si="15"/>
        <v>578921</v>
      </c>
    </row>
    <row r="101" spans="1:15" ht="15">
      <c r="A101" s="80" t="s">
        <v>521</v>
      </c>
      <c r="B101" s="188" t="s">
        <v>522</v>
      </c>
      <c r="C101" s="81">
        <f>162298+1812</f>
        <v>164110</v>
      </c>
      <c r="D101" s="43"/>
      <c r="E101" s="43"/>
      <c r="F101" s="81"/>
      <c r="G101" s="43"/>
      <c r="H101" s="43"/>
      <c r="I101" s="43"/>
      <c r="J101" s="81"/>
      <c r="K101" s="81"/>
      <c r="L101" s="81"/>
      <c r="M101" s="81"/>
      <c r="N101" s="85"/>
      <c r="O101" s="158">
        <f t="shared" si="15"/>
        <v>164110</v>
      </c>
    </row>
    <row r="102" spans="1:15" ht="30">
      <c r="A102" s="80" t="s">
        <v>289</v>
      </c>
      <c r="B102" s="63" t="s">
        <v>468</v>
      </c>
      <c r="C102" s="81">
        <f>615820+5798</f>
        <v>621618</v>
      </c>
      <c r="D102" s="43"/>
      <c r="E102" s="43"/>
      <c r="F102" s="81"/>
      <c r="G102" s="43"/>
      <c r="H102" s="43"/>
      <c r="I102" s="43"/>
      <c r="J102" s="81"/>
      <c r="K102" s="81"/>
      <c r="L102" s="81"/>
      <c r="M102" s="81"/>
      <c r="N102" s="81"/>
      <c r="O102" s="158">
        <f t="shared" si="15"/>
        <v>621618</v>
      </c>
    </row>
    <row r="103" spans="1:15" ht="15.75">
      <c r="A103" s="34" t="s">
        <v>399</v>
      </c>
      <c r="B103" s="38" t="s">
        <v>400</v>
      </c>
      <c r="C103" s="81">
        <f>12000+152590+6471</f>
        <v>171061</v>
      </c>
      <c r="D103" s="43"/>
      <c r="E103" s="43"/>
      <c r="F103" s="81"/>
      <c r="G103" s="43"/>
      <c r="H103" s="43"/>
      <c r="I103" s="43"/>
      <c r="J103" s="81"/>
      <c r="K103" s="81"/>
      <c r="L103" s="81"/>
      <c r="M103" s="81"/>
      <c r="N103" s="81"/>
      <c r="O103" s="158">
        <f t="shared" si="15"/>
        <v>171061</v>
      </c>
    </row>
    <row r="104" spans="1:15" ht="63">
      <c r="A104" s="34" t="s">
        <v>469</v>
      </c>
      <c r="B104" s="38" t="s">
        <v>543</v>
      </c>
      <c r="C104" s="81">
        <f>1007246-90645</f>
        <v>916601</v>
      </c>
      <c r="D104" s="43"/>
      <c r="E104" s="43"/>
      <c r="F104" s="81"/>
      <c r="G104" s="43"/>
      <c r="H104" s="43"/>
      <c r="I104" s="43"/>
      <c r="J104" s="81"/>
      <c r="K104" s="81"/>
      <c r="L104" s="81"/>
      <c r="M104" s="81"/>
      <c r="N104" s="81"/>
      <c r="O104" s="158">
        <f t="shared" si="15"/>
        <v>916601</v>
      </c>
    </row>
    <row r="105" spans="1:15" ht="15.75">
      <c r="A105" s="34" t="s">
        <v>470</v>
      </c>
      <c r="B105" s="38" t="s">
        <v>535</v>
      </c>
      <c r="C105" s="81">
        <f>305734+258907</f>
        <v>564641</v>
      </c>
      <c r="D105" s="43"/>
      <c r="E105" s="43"/>
      <c r="F105" s="81"/>
      <c r="G105" s="43"/>
      <c r="H105" s="43"/>
      <c r="I105" s="43"/>
      <c r="J105" s="81"/>
      <c r="K105" s="81"/>
      <c r="L105" s="81"/>
      <c r="M105" s="81"/>
      <c r="N105" s="81"/>
      <c r="O105" s="158">
        <f t="shared" si="15"/>
        <v>564641</v>
      </c>
    </row>
    <row r="106" spans="1:15" ht="47.25">
      <c r="A106" s="34" t="s">
        <v>471</v>
      </c>
      <c r="B106" s="37" t="s">
        <v>472</v>
      </c>
      <c r="C106" s="81">
        <v>578747</v>
      </c>
      <c r="D106" s="43"/>
      <c r="E106" s="43"/>
      <c r="F106" s="81"/>
      <c r="G106" s="43"/>
      <c r="H106" s="43"/>
      <c r="I106" s="43"/>
      <c r="J106" s="81"/>
      <c r="K106" s="81"/>
      <c r="L106" s="81"/>
      <c r="M106" s="81"/>
      <c r="N106" s="81"/>
      <c r="O106" s="158">
        <f t="shared" si="15"/>
        <v>578747</v>
      </c>
    </row>
    <row r="107" spans="1:15" ht="47.25">
      <c r="A107" s="34" t="s">
        <v>516</v>
      </c>
      <c r="B107" s="38" t="s">
        <v>517</v>
      </c>
      <c r="C107" s="81">
        <f>114446+11166</f>
        <v>125612</v>
      </c>
      <c r="D107" s="43"/>
      <c r="E107" s="43"/>
      <c r="F107" s="81"/>
      <c r="G107" s="43"/>
      <c r="H107" s="43"/>
      <c r="I107" s="43"/>
      <c r="J107" s="81"/>
      <c r="K107" s="81"/>
      <c r="L107" s="81"/>
      <c r="M107" s="81"/>
      <c r="N107" s="81"/>
      <c r="O107" s="158">
        <f t="shared" si="15"/>
        <v>125612</v>
      </c>
    </row>
    <row r="108" spans="1:15" ht="15">
      <c r="A108" s="34" t="s">
        <v>523</v>
      </c>
      <c r="B108" s="271" t="s">
        <v>524</v>
      </c>
      <c r="C108" s="81">
        <v>273708</v>
      </c>
      <c r="D108" s="43"/>
      <c r="E108" s="43"/>
      <c r="F108" s="81"/>
      <c r="G108" s="43"/>
      <c r="H108" s="43"/>
      <c r="I108" s="43"/>
      <c r="J108" s="81"/>
      <c r="K108" s="81"/>
      <c r="L108" s="81"/>
      <c r="M108" s="81"/>
      <c r="N108" s="81"/>
      <c r="O108" s="158">
        <f t="shared" si="15"/>
        <v>273708</v>
      </c>
    </row>
    <row r="109" spans="1:15" ht="31.5">
      <c r="A109" s="34" t="s">
        <v>514</v>
      </c>
      <c r="B109" s="37" t="s">
        <v>515</v>
      </c>
      <c r="C109" s="81">
        <f>23693+2423</f>
        <v>26116</v>
      </c>
      <c r="D109" s="43"/>
      <c r="E109" s="43"/>
      <c r="F109" s="81"/>
      <c r="G109" s="43"/>
      <c r="H109" s="43"/>
      <c r="I109" s="43"/>
      <c r="J109" s="81"/>
      <c r="K109" s="81"/>
      <c r="L109" s="81"/>
      <c r="M109" s="81"/>
      <c r="N109" s="81"/>
      <c r="O109" s="158">
        <f t="shared" si="15"/>
        <v>26116</v>
      </c>
    </row>
    <row r="110" spans="1:15" ht="15">
      <c r="A110" s="34" t="s">
        <v>525</v>
      </c>
      <c r="B110" s="271" t="s">
        <v>528</v>
      </c>
      <c r="C110" s="81">
        <f>272505+14395</f>
        <v>286900</v>
      </c>
      <c r="D110" s="43"/>
      <c r="E110" s="43"/>
      <c r="F110" s="81"/>
      <c r="G110" s="43"/>
      <c r="H110" s="43"/>
      <c r="I110" s="43"/>
      <c r="J110" s="81"/>
      <c r="K110" s="81"/>
      <c r="L110" s="81"/>
      <c r="M110" s="81"/>
      <c r="N110" s="81"/>
      <c r="O110" s="158">
        <f t="shared" si="15"/>
        <v>286900</v>
      </c>
    </row>
    <row r="111" spans="1:15" ht="15">
      <c r="A111" s="34" t="s">
        <v>526</v>
      </c>
      <c r="B111" s="271" t="s">
        <v>529</v>
      </c>
      <c r="C111" s="81">
        <v>108421</v>
      </c>
      <c r="D111" s="43"/>
      <c r="E111" s="43"/>
      <c r="F111" s="81"/>
      <c r="G111" s="43"/>
      <c r="H111" s="43"/>
      <c r="I111" s="43"/>
      <c r="J111" s="81"/>
      <c r="K111" s="81"/>
      <c r="L111" s="81"/>
      <c r="M111" s="81"/>
      <c r="N111" s="81"/>
      <c r="O111" s="158">
        <f t="shared" si="15"/>
        <v>108421</v>
      </c>
    </row>
    <row r="112" spans="1:15" ht="45">
      <c r="A112" s="34" t="s">
        <v>527</v>
      </c>
      <c r="B112" s="271" t="s">
        <v>530</v>
      </c>
      <c r="C112" s="81">
        <v>323340</v>
      </c>
      <c r="D112" s="43"/>
      <c r="E112" s="43"/>
      <c r="F112" s="81"/>
      <c r="G112" s="43"/>
      <c r="H112" s="43"/>
      <c r="I112" s="43"/>
      <c r="J112" s="81"/>
      <c r="K112" s="81"/>
      <c r="L112" s="81"/>
      <c r="M112" s="81"/>
      <c r="N112" s="81"/>
      <c r="O112" s="158">
        <f t="shared" si="15"/>
        <v>323340</v>
      </c>
    </row>
    <row r="113" spans="1:15" ht="15">
      <c r="A113" s="34" t="s">
        <v>531</v>
      </c>
      <c r="B113" s="44" t="s">
        <v>532</v>
      </c>
      <c r="C113" s="81">
        <f>84429+2150</f>
        <v>86579</v>
      </c>
      <c r="D113" s="43"/>
      <c r="E113" s="43"/>
      <c r="F113" s="81"/>
      <c r="G113" s="43"/>
      <c r="H113" s="43"/>
      <c r="I113" s="43"/>
      <c r="J113" s="81"/>
      <c r="K113" s="81"/>
      <c r="L113" s="81"/>
      <c r="M113" s="81"/>
      <c r="N113" s="81"/>
      <c r="O113" s="158">
        <f t="shared" si="15"/>
        <v>86579</v>
      </c>
    </row>
    <row r="114" spans="1:15" ht="15.75">
      <c r="A114" s="34" t="s">
        <v>540</v>
      </c>
      <c r="B114" s="267" t="s">
        <v>541</v>
      </c>
      <c r="C114" s="81"/>
      <c r="D114" s="43"/>
      <c r="E114" s="43"/>
      <c r="F114" s="81"/>
      <c r="G114" s="43"/>
      <c r="H114" s="43"/>
      <c r="I114" s="43"/>
      <c r="J114" s="81">
        <v>24353</v>
      </c>
      <c r="K114" s="81"/>
      <c r="L114" s="81"/>
      <c r="M114" s="81"/>
      <c r="N114" s="81"/>
      <c r="O114" s="158">
        <f t="shared" si="15"/>
        <v>24353</v>
      </c>
    </row>
    <row r="115" spans="1:15" ht="15">
      <c r="A115" s="157" t="s">
        <v>74</v>
      </c>
      <c r="B115" s="189" t="s">
        <v>75</v>
      </c>
      <c r="C115" s="123">
        <f>SUM(C116:C116)</f>
        <v>0</v>
      </c>
      <c r="D115" s="43"/>
      <c r="E115" s="43"/>
      <c r="F115" s="81"/>
      <c r="G115" s="61">
        <f aca="true" t="shared" si="24" ref="G115:N115">SUM(G116:G116)</f>
        <v>0</v>
      </c>
      <c r="H115" s="61">
        <f t="shared" si="24"/>
        <v>0</v>
      </c>
      <c r="I115" s="61">
        <f>SUM(I116:I116)</f>
        <v>0</v>
      </c>
      <c r="J115" s="123">
        <f t="shared" si="24"/>
        <v>0</v>
      </c>
      <c r="K115" s="123">
        <f t="shared" si="24"/>
        <v>0</v>
      </c>
      <c r="L115" s="123">
        <f t="shared" si="24"/>
        <v>0</v>
      </c>
      <c r="M115" s="123">
        <f t="shared" si="24"/>
        <v>0</v>
      </c>
      <c r="N115" s="123">
        <f t="shared" si="24"/>
        <v>0</v>
      </c>
      <c r="O115" s="158">
        <f t="shared" si="15"/>
        <v>0</v>
      </c>
    </row>
    <row r="116" spans="1:15" ht="15">
      <c r="A116" s="80" t="s">
        <v>202</v>
      </c>
      <c r="B116" s="51" t="s">
        <v>273</v>
      </c>
      <c r="C116" s="81"/>
      <c r="D116" s="43"/>
      <c r="E116" s="43"/>
      <c r="F116" s="81"/>
      <c r="G116" s="43"/>
      <c r="H116" s="43"/>
      <c r="I116" s="43"/>
      <c r="J116" s="43"/>
      <c r="K116" s="43"/>
      <c r="L116" s="43"/>
      <c r="M116" s="43"/>
      <c r="N116" s="81"/>
      <c r="O116" s="158">
        <f t="shared" si="15"/>
        <v>0</v>
      </c>
    </row>
    <row r="117" spans="1:15" ht="15.75" thickBot="1">
      <c r="A117" s="190" t="s">
        <v>378</v>
      </c>
      <c r="B117" s="178" t="s">
        <v>373</v>
      </c>
      <c r="C117" s="109">
        <f>152443+14009</f>
        <v>166452</v>
      </c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58">
        <f t="shared" si="15"/>
        <v>166452</v>
      </c>
    </row>
    <row r="118" spans="1:15" ht="15.75" thickBot="1">
      <c r="A118" s="110" t="s">
        <v>16</v>
      </c>
      <c r="B118" s="191" t="s">
        <v>76</v>
      </c>
      <c r="C118" s="74">
        <f aca="true" t="shared" si="25" ref="C118:N118">C119+C122+C125+C128</f>
        <v>6599589</v>
      </c>
      <c r="D118" s="74">
        <f t="shared" si="25"/>
        <v>630938</v>
      </c>
      <c r="E118" s="74">
        <f t="shared" si="25"/>
        <v>0</v>
      </c>
      <c r="F118" s="74">
        <f t="shared" si="25"/>
        <v>89273</v>
      </c>
      <c r="G118" s="74">
        <f t="shared" si="25"/>
        <v>11588</v>
      </c>
      <c r="H118" s="74">
        <f t="shared" si="25"/>
        <v>35261</v>
      </c>
      <c r="I118" s="74">
        <f t="shared" si="25"/>
        <v>34181</v>
      </c>
      <c r="J118" s="74">
        <f t="shared" si="25"/>
        <v>138692</v>
      </c>
      <c r="K118" s="74">
        <f t="shared" si="25"/>
        <v>29986</v>
      </c>
      <c r="L118" s="74">
        <f t="shared" si="25"/>
        <v>13305</v>
      </c>
      <c r="M118" s="74">
        <f t="shared" si="25"/>
        <v>0</v>
      </c>
      <c r="N118" s="74">
        <f t="shared" si="25"/>
        <v>25842</v>
      </c>
      <c r="O118" s="75">
        <f t="shared" si="15"/>
        <v>7608655</v>
      </c>
    </row>
    <row r="119" spans="1:15" ht="15">
      <c r="A119" s="150" t="s">
        <v>77</v>
      </c>
      <c r="B119" s="189" t="s">
        <v>78</v>
      </c>
      <c r="C119" s="152">
        <f>SUM(C120:C121)</f>
        <v>27373</v>
      </c>
      <c r="D119" s="152">
        <f aca="true" t="shared" si="26" ref="D119:N119">SUM(D120:D121)</f>
        <v>75755</v>
      </c>
      <c r="E119" s="152">
        <f t="shared" si="26"/>
        <v>0</v>
      </c>
      <c r="F119" s="152">
        <f t="shared" si="26"/>
        <v>35416</v>
      </c>
      <c r="G119" s="152">
        <f t="shared" si="26"/>
        <v>1600</v>
      </c>
      <c r="H119" s="152">
        <f t="shared" si="26"/>
        <v>14105</v>
      </c>
      <c r="I119" s="152">
        <f t="shared" si="26"/>
        <v>24992</v>
      </c>
      <c r="J119" s="152">
        <f t="shared" si="26"/>
        <v>44817</v>
      </c>
      <c r="K119" s="152">
        <f t="shared" si="26"/>
        <v>22272</v>
      </c>
      <c r="L119" s="152">
        <f t="shared" si="26"/>
        <v>6600</v>
      </c>
      <c r="M119" s="152">
        <f t="shared" si="26"/>
        <v>0</v>
      </c>
      <c r="N119" s="152">
        <f t="shared" si="26"/>
        <v>13480</v>
      </c>
      <c r="O119" s="192">
        <f t="shared" si="15"/>
        <v>266410</v>
      </c>
    </row>
    <row r="120" spans="1:15" ht="30">
      <c r="A120" s="80" t="s">
        <v>203</v>
      </c>
      <c r="B120" s="51" t="s">
        <v>401</v>
      </c>
      <c r="C120" s="161">
        <f>8013</f>
        <v>8013</v>
      </c>
      <c r="D120" s="43">
        <v>75755</v>
      </c>
      <c r="E120" s="43"/>
      <c r="F120" s="43">
        <f>34598+818</f>
        <v>35416</v>
      </c>
      <c r="G120" s="83">
        <v>1600</v>
      </c>
      <c r="H120" s="43">
        <v>14105</v>
      </c>
      <c r="I120" s="43">
        <v>24992</v>
      </c>
      <c r="J120" s="43">
        <v>44817</v>
      </c>
      <c r="K120" s="43">
        <f>22080+192</f>
        <v>22272</v>
      </c>
      <c r="L120" s="43">
        <v>6600</v>
      </c>
      <c r="M120" s="43"/>
      <c r="N120" s="87">
        <v>13480</v>
      </c>
      <c r="O120" s="158">
        <f>SUM(C120:N120)</f>
        <v>247050</v>
      </c>
    </row>
    <row r="121" spans="1:15" ht="15">
      <c r="A121" s="80" t="s">
        <v>290</v>
      </c>
      <c r="B121" s="174" t="s">
        <v>473</v>
      </c>
      <c r="C121" s="81">
        <v>19360</v>
      </c>
      <c r="D121" s="81"/>
      <c r="E121" s="81"/>
      <c r="F121" s="43"/>
      <c r="G121" s="83"/>
      <c r="H121" s="43"/>
      <c r="I121" s="43"/>
      <c r="J121" s="81"/>
      <c r="K121" s="43"/>
      <c r="L121" s="81"/>
      <c r="M121" s="43"/>
      <c r="N121" s="85"/>
      <c r="O121" s="158">
        <f>SUM(C121:N121)</f>
        <v>19360</v>
      </c>
    </row>
    <row r="122" spans="1:15" ht="15">
      <c r="A122" s="157" t="s">
        <v>2</v>
      </c>
      <c r="B122" s="159" t="s">
        <v>79</v>
      </c>
      <c r="C122" s="123">
        <f>SUM(C123:C124)</f>
        <v>71616</v>
      </c>
      <c r="D122" s="123">
        <f>SUM(D123:D124)</f>
        <v>555183</v>
      </c>
      <c r="E122" s="123">
        <f>SUM(E123:E124)</f>
        <v>0</v>
      </c>
      <c r="F122" s="61">
        <f>SUM(F123:F124)</f>
        <v>53857</v>
      </c>
      <c r="G122" s="122">
        <f aca="true" t="shared" si="27" ref="G122:N122">SUM(G123:G124)</f>
        <v>0</v>
      </c>
      <c r="H122" s="61">
        <f t="shared" si="27"/>
        <v>21156</v>
      </c>
      <c r="I122" s="61">
        <f t="shared" si="27"/>
        <v>9189</v>
      </c>
      <c r="J122" s="123">
        <f t="shared" si="27"/>
        <v>51545</v>
      </c>
      <c r="K122" s="123">
        <f t="shared" si="27"/>
        <v>7714</v>
      </c>
      <c r="L122" s="123">
        <f t="shared" si="27"/>
        <v>6014</v>
      </c>
      <c r="M122" s="61">
        <f t="shared" si="27"/>
        <v>0</v>
      </c>
      <c r="N122" s="121">
        <f t="shared" si="27"/>
        <v>12362</v>
      </c>
      <c r="O122" s="158">
        <f t="shared" si="15"/>
        <v>788636</v>
      </c>
    </row>
    <row r="123" spans="1:15" ht="15">
      <c r="A123" s="80" t="s">
        <v>204</v>
      </c>
      <c r="B123" s="63" t="s">
        <v>474</v>
      </c>
      <c r="C123" s="81">
        <f>121616-50000</f>
        <v>71616</v>
      </c>
      <c r="D123" s="43">
        <v>65226</v>
      </c>
      <c r="E123" s="43"/>
      <c r="F123" s="43">
        <f>50657+3200</f>
        <v>53857</v>
      </c>
      <c r="G123" s="83"/>
      <c r="H123" s="43"/>
      <c r="I123" s="43"/>
      <c r="J123" s="43"/>
      <c r="K123" s="43"/>
      <c r="L123" s="43"/>
      <c r="M123" s="43"/>
      <c r="N123" s="85"/>
      <c r="O123" s="158">
        <f t="shared" si="15"/>
        <v>190699</v>
      </c>
    </row>
    <row r="124" spans="1:15" ht="15">
      <c r="A124" s="193" t="s">
        <v>205</v>
      </c>
      <c r="B124" s="63" t="s">
        <v>475</v>
      </c>
      <c r="C124" s="81"/>
      <c r="D124" s="43">
        <v>489957</v>
      </c>
      <c r="E124" s="43"/>
      <c r="F124" s="81"/>
      <c r="G124" s="43"/>
      <c r="H124" s="43">
        <v>21156</v>
      </c>
      <c r="I124" s="43">
        <v>9189</v>
      </c>
      <c r="J124" s="43">
        <f>48006+3539</f>
        <v>51545</v>
      </c>
      <c r="K124" s="43">
        <v>7714</v>
      </c>
      <c r="L124" s="43">
        <v>6014</v>
      </c>
      <c r="M124" s="43"/>
      <c r="N124" s="87">
        <v>12362</v>
      </c>
      <c r="O124" s="158">
        <f>SUM(C124:N124)</f>
        <v>597937</v>
      </c>
    </row>
    <row r="125" spans="1:15" s="239" customFormat="1" ht="28.5">
      <c r="A125" s="157" t="s">
        <v>206</v>
      </c>
      <c r="B125" s="189" t="s">
        <v>207</v>
      </c>
      <c r="C125" s="152">
        <f aca="true" t="shared" si="28" ref="C125:N125">SUM(C126:C127)</f>
        <v>6465275</v>
      </c>
      <c r="D125" s="152">
        <f t="shared" si="28"/>
        <v>0</v>
      </c>
      <c r="E125" s="152">
        <f t="shared" si="28"/>
        <v>0</v>
      </c>
      <c r="F125" s="152">
        <f t="shared" si="28"/>
        <v>0</v>
      </c>
      <c r="G125" s="152">
        <f t="shared" si="28"/>
        <v>0</v>
      </c>
      <c r="H125" s="152">
        <f t="shared" si="28"/>
        <v>0</v>
      </c>
      <c r="I125" s="152">
        <f t="shared" si="28"/>
        <v>0</v>
      </c>
      <c r="J125" s="152">
        <f t="shared" si="28"/>
        <v>42330</v>
      </c>
      <c r="K125" s="152">
        <f t="shared" si="28"/>
        <v>0</v>
      </c>
      <c r="L125" s="152">
        <f t="shared" si="28"/>
        <v>691</v>
      </c>
      <c r="M125" s="152">
        <f t="shared" si="28"/>
        <v>0</v>
      </c>
      <c r="N125" s="152">
        <f t="shared" si="28"/>
        <v>0</v>
      </c>
      <c r="O125" s="158">
        <f t="shared" si="15"/>
        <v>6508296</v>
      </c>
    </row>
    <row r="126" spans="1:15" s="239" customFormat="1" ht="15">
      <c r="A126" s="80" t="s">
        <v>329</v>
      </c>
      <c r="B126" s="194" t="s">
        <v>385</v>
      </c>
      <c r="C126" s="169">
        <f>20000+35505</f>
        <v>55505</v>
      </c>
      <c r="D126" s="152"/>
      <c r="E126" s="152"/>
      <c r="F126" s="152"/>
      <c r="G126" s="118"/>
      <c r="H126" s="152"/>
      <c r="I126" s="152"/>
      <c r="J126" s="152">
        <v>42330</v>
      </c>
      <c r="K126" s="152"/>
      <c r="L126" s="152">
        <v>691</v>
      </c>
      <c r="M126" s="152"/>
      <c r="N126" s="152"/>
      <c r="O126" s="158">
        <f>SUM(C126:N126)</f>
        <v>98526</v>
      </c>
    </row>
    <row r="127" spans="1:15" s="239" customFormat="1" ht="31.5">
      <c r="A127" s="34" t="s">
        <v>402</v>
      </c>
      <c r="B127" s="37" t="s">
        <v>403</v>
      </c>
      <c r="C127" s="52">
        <f>6400000+9770</f>
        <v>6409770</v>
      </c>
      <c r="D127" s="152"/>
      <c r="E127" s="152"/>
      <c r="F127" s="152"/>
      <c r="G127" s="118"/>
      <c r="H127" s="152"/>
      <c r="I127" s="152"/>
      <c r="J127" s="152"/>
      <c r="K127" s="152"/>
      <c r="L127" s="152"/>
      <c r="M127" s="152"/>
      <c r="N127" s="152"/>
      <c r="O127" s="158">
        <f>SUM(C127:N127)</f>
        <v>6409770</v>
      </c>
    </row>
    <row r="128" spans="1:15" ht="29.25">
      <c r="A128" s="150" t="s">
        <v>208</v>
      </c>
      <c r="B128" s="189" t="s">
        <v>209</v>
      </c>
      <c r="C128" s="152">
        <f>C129</f>
        <v>35325</v>
      </c>
      <c r="D128" s="152">
        <f aca="true" t="shared" si="29" ref="D128:N128">D129</f>
        <v>0</v>
      </c>
      <c r="E128" s="152">
        <f t="shared" si="29"/>
        <v>0</v>
      </c>
      <c r="F128" s="152">
        <f t="shared" si="29"/>
        <v>0</v>
      </c>
      <c r="G128" s="152">
        <f t="shared" si="29"/>
        <v>9988</v>
      </c>
      <c r="H128" s="152">
        <f t="shared" si="29"/>
        <v>0</v>
      </c>
      <c r="I128" s="152">
        <f t="shared" si="29"/>
        <v>0</v>
      </c>
      <c r="J128" s="152">
        <f t="shared" si="29"/>
        <v>0</v>
      </c>
      <c r="K128" s="152">
        <f t="shared" si="29"/>
        <v>0</v>
      </c>
      <c r="L128" s="152">
        <f t="shared" si="29"/>
        <v>0</v>
      </c>
      <c r="M128" s="152">
        <f t="shared" si="29"/>
        <v>0</v>
      </c>
      <c r="N128" s="152">
        <f t="shared" si="29"/>
        <v>0</v>
      </c>
      <c r="O128" s="158">
        <f>SUM(C128:N128)</f>
        <v>45313</v>
      </c>
    </row>
    <row r="129" spans="1:15" s="239" customFormat="1" ht="30" customHeight="1" thickBot="1">
      <c r="A129" s="196" t="s">
        <v>330</v>
      </c>
      <c r="B129" s="188" t="s">
        <v>476</v>
      </c>
      <c r="C129" s="52">
        <v>35325</v>
      </c>
      <c r="D129" s="152"/>
      <c r="E129" s="152"/>
      <c r="F129" s="152"/>
      <c r="G129" s="78">
        <v>9988</v>
      </c>
      <c r="H129" s="152"/>
      <c r="I129" s="152"/>
      <c r="J129" s="152"/>
      <c r="K129" s="152"/>
      <c r="L129" s="152"/>
      <c r="M129" s="152"/>
      <c r="N129" s="152"/>
      <c r="O129" s="158">
        <f>SUM(C129:N129)</f>
        <v>45313</v>
      </c>
    </row>
    <row r="130" spans="1:15" ht="30" thickBot="1">
      <c r="A130" s="110" t="s">
        <v>3</v>
      </c>
      <c r="B130" s="191" t="s">
        <v>80</v>
      </c>
      <c r="C130" s="74">
        <f>SUM(C131:C137)</f>
        <v>4297386</v>
      </c>
      <c r="D130" s="74">
        <f aca="true" t="shared" si="30" ref="D130:N130">SUM(D131:D137)</f>
        <v>2436724</v>
      </c>
      <c r="E130" s="74">
        <f t="shared" si="30"/>
        <v>0</v>
      </c>
      <c r="F130" s="74">
        <f t="shared" si="30"/>
        <v>265966</v>
      </c>
      <c r="G130" s="74">
        <f t="shared" si="30"/>
        <v>109841</v>
      </c>
      <c r="H130" s="74">
        <f t="shared" si="30"/>
        <v>164843</v>
      </c>
      <c r="I130" s="74">
        <f t="shared" si="30"/>
        <v>160789</v>
      </c>
      <c r="J130" s="74">
        <f t="shared" si="30"/>
        <v>358556</v>
      </c>
      <c r="K130" s="74">
        <f t="shared" si="30"/>
        <v>56025</v>
      </c>
      <c r="L130" s="74">
        <f t="shared" si="30"/>
        <v>114634</v>
      </c>
      <c r="M130" s="74">
        <f t="shared" si="30"/>
        <v>105085</v>
      </c>
      <c r="N130" s="74">
        <f t="shared" si="30"/>
        <v>117749</v>
      </c>
      <c r="O130" s="75">
        <f t="shared" si="15"/>
        <v>8187598</v>
      </c>
    </row>
    <row r="131" spans="1:15" ht="15">
      <c r="A131" s="150" t="s">
        <v>266</v>
      </c>
      <c r="B131" s="189" t="s">
        <v>331</v>
      </c>
      <c r="C131" s="152"/>
      <c r="D131" s="118"/>
      <c r="E131" s="78"/>
      <c r="F131" s="52"/>
      <c r="G131" s="78"/>
      <c r="H131" s="57"/>
      <c r="I131" s="78"/>
      <c r="J131" s="78"/>
      <c r="K131" s="78"/>
      <c r="L131" s="78"/>
      <c r="M131" s="78"/>
      <c r="N131" s="52"/>
      <c r="O131" s="155">
        <f t="shared" si="15"/>
        <v>0</v>
      </c>
    </row>
    <row r="132" spans="1:15" ht="15">
      <c r="A132" s="180" t="s">
        <v>291</v>
      </c>
      <c r="B132" s="188" t="s">
        <v>150</v>
      </c>
      <c r="C132" s="152"/>
      <c r="D132" s="118"/>
      <c r="E132" s="78"/>
      <c r="F132" s="52"/>
      <c r="G132" s="78"/>
      <c r="H132" s="43"/>
      <c r="I132" s="78"/>
      <c r="J132" s="78"/>
      <c r="K132" s="78"/>
      <c r="L132" s="78"/>
      <c r="M132" s="78"/>
      <c r="N132" s="52"/>
      <c r="O132" s="99">
        <f t="shared" si="15"/>
        <v>0</v>
      </c>
    </row>
    <row r="133" spans="1:15" ht="15">
      <c r="A133" s="157" t="s">
        <v>332</v>
      </c>
      <c r="B133" s="159" t="s">
        <v>210</v>
      </c>
      <c r="C133" s="161">
        <v>151876</v>
      </c>
      <c r="D133" s="61"/>
      <c r="E133" s="43"/>
      <c r="F133" s="81"/>
      <c r="G133" s="43"/>
      <c r="H133" s="43"/>
      <c r="I133" s="43"/>
      <c r="J133" s="43"/>
      <c r="K133" s="43"/>
      <c r="L133" s="43"/>
      <c r="M133" s="43"/>
      <c r="N133" s="81"/>
      <c r="O133" s="158">
        <f t="shared" si="15"/>
        <v>151876</v>
      </c>
    </row>
    <row r="134" spans="1:15" ht="15">
      <c r="A134" s="157" t="s">
        <v>81</v>
      </c>
      <c r="B134" s="159" t="s">
        <v>82</v>
      </c>
      <c r="C134" s="81"/>
      <c r="D134" s="43">
        <v>333971</v>
      </c>
      <c r="E134" s="43"/>
      <c r="F134" s="43">
        <f>25781-800</f>
        <v>24981</v>
      </c>
      <c r="G134" s="83"/>
      <c r="H134" s="43"/>
      <c r="I134" s="43"/>
      <c r="J134" s="43"/>
      <c r="K134" s="43"/>
      <c r="L134" s="43"/>
      <c r="M134" s="43"/>
      <c r="N134" s="81"/>
      <c r="O134" s="158">
        <f aca="true" t="shared" si="31" ref="O134:O142">SUM(C134:N134)</f>
        <v>358952</v>
      </c>
    </row>
    <row r="135" spans="1:15" ht="15">
      <c r="A135" s="157" t="s">
        <v>404</v>
      </c>
      <c r="B135" s="63" t="s">
        <v>405</v>
      </c>
      <c r="C135" s="81"/>
      <c r="D135" s="61"/>
      <c r="E135" s="43"/>
      <c r="F135" s="43"/>
      <c r="G135" s="83"/>
      <c r="H135" s="43">
        <v>27810</v>
      </c>
      <c r="I135" s="43">
        <f>13097+289</f>
        <v>13386</v>
      </c>
      <c r="J135" s="43">
        <v>41613</v>
      </c>
      <c r="K135" s="43">
        <v>9429</v>
      </c>
      <c r="L135" s="43">
        <v>7934</v>
      </c>
      <c r="M135" s="43">
        <v>80930</v>
      </c>
      <c r="N135" s="87">
        <v>4949</v>
      </c>
      <c r="O135" s="158">
        <f t="shared" si="31"/>
        <v>186051</v>
      </c>
    </row>
    <row r="136" spans="1:15" ht="15">
      <c r="A136" s="157" t="s">
        <v>83</v>
      </c>
      <c r="B136" s="159" t="s">
        <v>84</v>
      </c>
      <c r="C136" s="123">
        <v>971334</v>
      </c>
      <c r="D136" s="61"/>
      <c r="E136" s="43"/>
      <c r="F136" s="43"/>
      <c r="G136" s="83">
        <v>5900</v>
      </c>
      <c r="H136" s="43">
        <v>1200</v>
      </c>
      <c r="I136" s="43"/>
      <c r="J136" s="43">
        <v>15450</v>
      </c>
      <c r="K136" s="43"/>
      <c r="L136" s="43"/>
      <c r="M136" s="43">
        <v>1700</v>
      </c>
      <c r="N136" s="81"/>
      <c r="O136" s="158">
        <f t="shared" si="31"/>
        <v>995584</v>
      </c>
    </row>
    <row r="137" spans="1:15" ht="43.5">
      <c r="A137" s="157" t="s">
        <v>85</v>
      </c>
      <c r="B137" s="159" t="s">
        <v>86</v>
      </c>
      <c r="C137" s="123">
        <f aca="true" t="shared" si="32" ref="C137:N137">SUM(C138:C154)</f>
        <v>3174176</v>
      </c>
      <c r="D137" s="123">
        <f t="shared" si="32"/>
        <v>2102753</v>
      </c>
      <c r="E137" s="123">
        <f t="shared" si="32"/>
        <v>0</v>
      </c>
      <c r="F137" s="123">
        <f t="shared" si="32"/>
        <v>240985</v>
      </c>
      <c r="G137" s="123">
        <f t="shared" si="32"/>
        <v>103941</v>
      </c>
      <c r="H137" s="123">
        <f t="shared" si="32"/>
        <v>135833</v>
      </c>
      <c r="I137" s="123">
        <f t="shared" si="32"/>
        <v>147403</v>
      </c>
      <c r="J137" s="123">
        <f t="shared" si="32"/>
        <v>301493</v>
      </c>
      <c r="K137" s="123">
        <f t="shared" si="32"/>
        <v>46596</v>
      </c>
      <c r="L137" s="123">
        <f t="shared" si="32"/>
        <v>106700</v>
      </c>
      <c r="M137" s="123">
        <f t="shared" si="32"/>
        <v>22455</v>
      </c>
      <c r="N137" s="123">
        <f t="shared" si="32"/>
        <v>112800</v>
      </c>
      <c r="O137" s="158">
        <f t="shared" si="31"/>
        <v>6495135</v>
      </c>
    </row>
    <row r="138" spans="1:15" ht="15">
      <c r="A138" s="80" t="s">
        <v>211</v>
      </c>
      <c r="B138" s="63" t="s">
        <v>477</v>
      </c>
      <c r="C138" s="81"/>
      <c r="D138" s="43">
        <v>2077404</v>
      </c>
      <c r="E138" s="43"/>
      <c r="F138" s="43">
        <f>99735-900</f>
        <v>98835</v>
      </c>
      <c r="G138" s="125"/>
      <c r="H138" s="78">
        <v>10377</v>
      </c>
      <c r="I138" s="43">
        <v>11670</v>
      </c>
      <c r="J138" s="43"/>
      <c r="K138" s="43"/>
      <c r="L138" s="43"/>
      <c r="M138" s="43"/>
      <c r="N138" s="43"/>
      <c r="O138" s="158">
        <f t="shared" si="31"/>
        <v>2198286</v>
      </c>
    </row>
    <row r="139" spans="1:15" ht="15">
      <c r="A139" s="80" t="s">
        <v>212</v>
      </c>
      <c r="B139" s="63" t="s">
        <v>478</v>
      </c>
      <c r="C139" s="81"/>
      <c r="D139" s="43"/>
      <c r="E139" s="43"/>
      <c r="F139" s="43">
        <f>158200-16050</f>
        <v>142150</v>
      </c>
      <c r="G139" s="125"/>
      <c r="H139" s="43">
        <v>54993</v>
      </c>
      <c r="I139" s="43">
        <v>79451</v>
      </c>
      <c r="J139" s="43">
        <v>129145</v>
      </c>
      <c r="K139" s="43"/>
      <c r="L139" s="43"/>
      <c r="M139" s="43"/>
      <c r="N139" s="81"/>
      <c r="O139" s="158">
        <f t="shared" si="31"/>
        <v>405739</v>
      </c>
    </row>
    <row r="140" spans="1:15" ht="15">
      <c r="A140" s="80" t="s">
        <v>213</v>
      </c>
      <c r="B140" s="63" t="s">
        <v>479</v>
      </c>
      <c r="C140" s="161">
        <f>36100+10200</f>
        <v>46300</v>
      </c>
      <c r="D140" s="43">
        <v>25349</v>
      </c>
      <c r="E140" s="43"/>
      <c r="F140" s="81"/>
      <c r="G140" s="43">
        <v>13486</v>
      </c>
      <c r="H140" s="43"/>
      <c r="I140" s="43"/>
      <c r="J140" s="43">
        <v>16088</v>
      </c>
      <c r="K140" s="43">
        <v>5184</v>
      </c>
      <c r="L140" s="43"/>
      <c r="M140" s="43">
        <v>4354</v>
      </c>
      <c r="N140" s="81"/>
      <c r="O140" s="158">
        <f t="shared" si="31"/>
        <v>110761</v>
      </c>
    </row>
    <row r="141" spans="1:15" ht="45">
      <c r="A141" s="34" t="s">
        <v>333</v>
      </c>
      <c r="B141" s="31" t="s">
        <v>406</v>
      </c>
      <c r="C141" s="52">
        <f>241023+9989</f>
        <v>251012</v>
      </c>
      <c r="D141" s="43"/>
      <c r="E141" s="43"/>
      <c r="F141" s="81"/>
      <c r="G141" s="43"/>
      <c r="H141" s="43"/>
      <c r="I141" s="43"/>
      <c r="J141" s="43"/>
      <c r="K141" s="43"/>
      <c r="L141" s="43"/>
      <c r="M141" s="43"/>
      <c r="N141" s="81"/>
      <c r="O141" s="158">
        <f t="shared" si="31"/>
        <v>251012</v>
      </c>
    </row>
    <row r="142" spans="1:15" ht="30">
      <c r="A142" s="80" t="s">
        <v>214</v>
      </c>
      <c r="B142" s="63" t="s">
        <v>334</v>
      </c>
      <c r="C142" s="52">
        <f>43600-20360+1307</f>
        <v>24547</v>
      </c>
      <c r="D142" s="43"/>
      <c r="E142" s="43"/>
      <c r="F142" s="81"/>
      <c r="G142" s="43">
        <v>5968</v>
      </c>
      <c r="H142" s="43">
        <v>3000</v>
      </c>
      <c r="I142" s="43">
        <v>1496</v>
      </c>
      <c r="J142" s="43">
        <v>1494</v>
      </c>
      <c r="K142" s="43">
        <v>1308</v>
      </c>
      <c r="L142" s="43">
        <v>1500</v>
      </c>
      <c r="M142" s="43"/>
      <c r="N142" s="81">
        <f>4420-133</f>
        <v>4287</v>
      </c>
      <c r="O142" s="158">
        <f t="shared" si="31"/>
        <v>43600</v>
      </c>
    </row>
    <row r="143" spans="1:15" ht="30">
      <c r="A143" s="80" t="s">
        <v>215</v>
      </c>
      <c r="B143" s="188" t="s">
        <v>480</v>
      </c>
      <c r="C143" s="52">
        <f>55000+5595</f>
        <v>60595</v>
      </c>
      <c r="D143" s="43"/>
      <c r="E143" s="43"/>
      <c r="F143" s="81"/>
      <c r="G143" s="43">
        <v>5106</v>
      </c>
      <c r="H143" s="43"/>
      <c r="I143" s="43">
        <v>657</v>
      </c>
      <c r="J143" s="43">
        <v>8433</v>
      </c>
      <c r="K143" s="43"/>
      <c r="L143" s="43"/>
      <c r="M143" s="43"/>
      <c r="N143" s="81"/>
      <c r="O143" s="158">
        <f>SUM(C143:N143)</f>
        <v>74791</v>
      </c>
    </row>
    <row r="144" spans="1:15" ht="15">
      <c r="A144" s="80" t="s">
        <v>216</v>
      </c>
      <c r="B144" s="197" t="s">
        <v>481</v>
      </c>
      <c r="C144" s="81">
        <f>53000+5000</f>
        <v>58000</v>
      </c>
      <c r="D144" s="81"/>
      <c r="E144" s="81"/>
      <c r="F144" s="81"/>
      <c r="G144" s="43">
        <v>5480</v>
      </c>
      <c r="H144" s="43"/>
      <c r="I144" s="43">
        <v>54129</v>
      </c>
      <c r="J144" s="43"/>
      <c r="K144" s="43">
        <v>20324</v>
      </c>
      <c r="L144" s="43"/>
      <c r="M144" s="43">
        <v>12848</v>
      </c>
      <c r="N144" s="81"/>
      <c r="O144" s="158">
        <f aca="true" t="shared" si="33" ref="O144:O197">SUM(C144:N144)</f>
        <v>150781</v>
      </c>
    </row>
    <row r="145" spans="1:15" ht="17.25" customHeight="1">
      <c r="A145" s="80" t="s">
        <v>217</v>
      </c>
      <c r="B145" s="63" t="s">
        <v>482</v>
      </c>
      <c r="C145" s="43">
        <f>5000+8418</f>
        <v>13418</v>
      </c>
      <c r="D145" s="43"/>
      <c r="E145" s="43"/>
      <c r="F145" s="81"/>
      <c r="G145" s="43"/>
      <c r="H145" s="43"/>
      <c r="I145" s="43"/>
      <c r="J145" s="43"/>
      <c r="K145" s="43"/>
      <c r="L145" s="43"/>
      <c r="M145" s="43"/>
      <c r="N145" s="81"/>
      <c r="O145" s="158">
        <f t="shared" si="33"/>
        <v>13418</v>
      </c>
    </row>
    <row r="146" spans="1:15" ht="15">
      <c r="A146" s="80" t="s">
        <v>218</v>
      </c>
      <c r="B146" s="64" t="s">
        <v>483</v>
      </c>
      <c r="C146" s="81"/>
      <c r="D146" s="81"/>
      <c r="E146" s="81"/>
      <c r="F146" s="81"/>
      <c r="G146" s="43"/>
      <c r="H146" s="43">
        <v>67463</v>
      </c>
      <c r="I146" s="43"/>
      <c r="J146" s="17">
        <v>146333</v>
      </c>
      <c r="K146" s="43">
        <v>19780</v>
      </c>
      <c r="L146" s="43">
        <v>105200</v>
      </c>
      <c r="M146" s="43"/>
      <c r="N146" s="87">
        <v>108513</v>
      </c>
      <c r="O146" s="158">
        <f t="shared" si="33"/>
        <v>447289</v>
      </c>
    </row>
    <row r="147" spans="1:15" ht="15">
      <c r="A147" s="80" t="s">
        <v>341</v>
      </c>
      <c r="B147" s="188" t="s">
        <v>335</v>
      </c>
      <c r="C147" s="43">
        <f>145574+71783+43821</f>
        <v>261178</v>
      </c>
      <c r="D147" s="43"/>
      <c r="E147" s="43"/>
      <c r="F147" s="43"/>
      <c r="G147" s="43">
        <v>69531</v>
      </c>
      <c r="H147" s="43"/>
      <c r="I147" s="43"/>
      <c r="J147" s="17"/>
      <c r="K147" s="43"/>
      <c r="L147" s="43"/>
      <c r="M147" s="43">
        <v>5253</v>
      </c>
      <c r="N147" s="124"/>
      <c r="O147" s="158">
        <f t="shared" si="33"/>
        <v>335962</v>
      </c>
    </row>
    <row r="148" spans="1:15" ht="31.5">
      <c r="A148" s="34" t="s">
        <v>407</v>
      </c>
      <c r="B148" s="37" t="s">
        <v>408</v>
      </c>
      <c r="C148" s="43">
        <f>809180-16821</f>
        <v>792359</v>
      </c>
      <c r="D148" s="43"/>
      <c r="E148" s="43"/>
      <c r="F148" s="43"/>
      <c r="G148" s="43"/>
      <c r="H148" s="43"/>
      <c r="I148" s="43"/>
      <c r="J148" s="17"/>
      <c r="K148" s="43"/>
      <c r="L148" s="43"/>
      <c r="M148" s="43"/>
      <c r="N148" s="124"/>
      <c r="O148" s="158">
        <f t="shared" si="33"/>
        <v>792359</v>
      </c>
    </row>
    <row r="149" spans="1:15" ht="30">
      <c r="A149" s="34" t="s">
        <v>380</v>
      </c>
      <c r="B149" s="198" t="s">
        <v>386</v>
      </c>
      <c r="C149" s="81">
        <f>1302499+37625</f>
        <v>1340124</v>
      </c>
      <c r="D149" s="81"/>
      <c r="E149" s="81"/>
      <c r="F149" s="81"/>
      <c r="G149" s="43"/>
      <c r="H149" s="43"/>
      <c r="I149" s="43"/>
      <c r="J149" s="17"/>
      <c r="K149" s="81"/>
      <c r="L149" s="43"/>
      <c r="M149" s="43"/>
      <c r="N149" s="124"/>
      <c r="O149" s="158">
        <f t="shared" si="33"/>
        <v>1340124</v>
      </c>
    </row>
    <row r="150" spans="1:15" ht="30">
      <c r="A150" s="34" t="s">
        <v>436</v>
      </c>
      <c r="B150" s="47" t="s">
        <v>437</v>
      </c>
      <c r="C150" s="81">
        <v>8470</v>
      </c>
      <c r="D150" s="43"/>
      <c r="E150" s="43"/>
      <c r="F150" s="81"/>
      <c r="G150" s="43"/>
      <c r="H150" s="43"/>
      <c r="I150" s="43"/>
      <c r="J150" s="17"/>
      <c r="K150" s="43"/>
      <c r="L150" s="43"/>
      <c r="M150" s="43"/>
      <c r="N150" s="124"/>
      <c r="O150" s="158">
        <f t="shared" si="33"/>
        <v>8470</v>
      </c>
    </row>
    <row r="151" spans="1:15" ht="15.75">
      <c r="A151" s="34" t="s">
        <v>484</v>
      </c>
      <c r="B151" s="37" t="s">
        <v>485</v>
      </c>
      <c r="C151" s="81">
        <f>203440+16733+3000</f>
        <v>223173</v>
      </c>
      <c r="D151" s="81"/>
      <c r="E151" s="81"/>
      <c r="F151" s="81"/>
      <c r="G151" s="81"/>
      <c r="H151" s="81"/>
      <c r="I151" s="81"/>
      <c r="J151" s="161"/>
      <c r="K151" s="81"/>
      <c r="L151" s="81"/>
      <c r="M151" s="81"/>
      <c r="N151" s="124"/>
      <c r="O151" s="158">
        <f t="shared" si="33"/>
        <v>223173</v>
      </c>
    </row>
    <row r="152" spans="1:15" ht="15.75">
      <c r="A152" s="34" t="s">
        <v>486</v>
      </c>
      <c r="B152" s="37" t="s">
        <v>487</v>
      </c>
      <c r="C152" s="81">
        <v>56000</v>
      </c>
      <c r="D152" s="81"/>
      <c r="E152" s="81"/>
      <c r="F152" s="81"/>
      <c r="G152" s="81"/>
      <c r="H152" s="81"/>
      <c r="I152" s="81"/>
      <c r="J152" s="161"/>
      <c r="K152" s="81"/>
      <c r="L152" s="81"/>
      <c r="M152" s="81"/>
      <c r="N152" s="124"/>
      <c r="O152" s="158">
        <f t="shared" si="33"/>
        <v>56000</v>
      </c>
    </row>
    <row r="153" spans="1:15" ht="15.75">
      <c r="A153" s="34" t="s">
        <v>488</v>
      </c>
      <c r="B153" s="265" t="s">
        <v>489</v>
      </c>
      <c r="C153" s="81">
        <v>39000</v>
      </c>
      <c r="D153" s="81"/>
      <c r="E153" s="81"/>
      <c r="F153" s="81"/>
      <c r="G153" s="81"/>
      <c r="H153" s="81"/>
      <c r="I153" s="81"/>
      <c r="J153" s="161"/>
      <c r="K153" s="81"/>
      <c r="L153" s="81"/>
      <c r="M153" s="81"/>
      <c r="N153" s="81"/>
      <c r="O153" s="158">
        <f t="shared" si="33"/>
        <v>39000</v>
      </c>
    </row>
    <row r="154" spans="1:15" ht="16.5" thickBot="1">
      <c r="A154" s="39" t="s">
        <v>536</v>
      </c>
      <c r="B154" s="199" t="s">
        <v>537</v>
      </c>
      <c r="C154" s="109"/>
      <c r="D154" s="109"/>
      <c r="E154" s="109"/>
      <c r="F154" s="109"/>
      <c r="G154" s="109">
        <v>4370</v>
      </c>
      <c r="H154" s="109"/>
      <c r="I154" s="109"/>
      <c r="J154" s="175"/>
      <c r="K154" s="109"/>
      <c r="L154" s="109"/>
      <c r="M154" s="109"/>
      <c r="N154" s="109"/>
      <c r="O154" s="158">
        <f t="shared" si="33"/>
        <v>4370</v>
      </c>
    </row>
    <row r="155" spans="1:15" ht="15.75" thickBot="1">
      <c r="A155" s="110" t="s">
        <v>4</v>
      </c>
      <c r="B155" s="72" t="s">
        <v>87</v>
      </c>
      <c r="C155" s="74">
        <f>SUM(C156+C158+C159)</f>
        <v>70920</v>
      </c>
      <c r="D155" s="74">
        <f aca="true" t="shared" si="34" ref="D155:N155">SUM(D156+D158+D159)</f>
        <v>0</v>
      </c>
      <c r="E155" s="74">
        <f t="shared" si="34"/>
        <v>0</v>
      </c>
      <c r="F155" s="74">
        <f t="shared" si="34"/>
        <v>0</v>
      </c>
      <c r="G155" s="74">
        <f t="shared" si="34"/>
        <v>1930</v>
      </c>
      <c r="H155" s="74">
        <f t="shared" si="34"/>
        <v>0</v>
      </c>
      <c r="I155" s="74">
        <f t="shared" si="34"/>
        <v>0</v>
      </c>
      <c r="J155" s="74">
        <f t="shared" si="34"/>
        <v>0</v>
      </c>
      <c r="K155" s="74">
        <f t="shared" si="34"/>
        <v>3194</v>
      </c>
      <c r="L155" s="74">
        <f t="shared" si="34"/>
        <v>27085</v>
      </c>
      <c r="M155" s="74">
        <f t="shared" si="34"/>
        <v>550</v>
      </c>
      <c r="N155" s="74">
        <f t="shared" si="34"/>
        <v>3488</v>
      </c>
      <c r="O155" s="75">
        <f>SUM(C155:N155)</f>
        <v>107167</v>
      </c>
    </row>
    <row r="156" spans="1:15" s="239" customFormat="1" ht="14.25">
      <c r="A156" s="150" t="s">
        <v>88</v>
      </c>
      <c r="B156" s="151" t="s">
        <v>89</v>
      </c>
      <c r="C156" s="152">
        <f>SUM(C157:C157)</f>
        <v>0</v>
      </c>
      <c r="D156" s="152">
        <f aca="true" t="shared" si="35" ref="D156:N156">SUM(D157:D157)</f>
        <v>0</v>
      </c>
      <c r="E156" s="152">
        <f t="shared" si="35"/>
        <v>0</v>
      </c>
      <c r="F156" s="152">
        <f t="shared" si="35"/>
        <v>0</v>
      </c>
      <c r="G156" s="152">
        <f>SUM(G157:G157)</f>
        <v>1930</v>
      </c>
      <c r="H156" s="152">
        <f t="shared" si="35"/>
        <v>0</v>
      </c>
      <c r="I156" s="152">
        <f t="shared" si="35"/>
        <v>0</v>
      </c>
      <c r="J156" s="152">
        <f t="shared" si="35"/>
        <v>0</v>
      </c>
      <c r="K156" s="152">
        <f t="shared" si="35"/>
        <v>3194</v>
      </c>
      <c r="L156" s="152">
        <f t="shared" si="35"/>
        <v>27085</v>
      </c>
      <c r="M156" s="152">
        <f t="shared" si="35"/>
        <v>550</v>
      </c>
      <c r="N156" s="152">
        <f t="shared" si="35"/>
        <v>3488</v>
      </c>
      <c r="O156" s="79">
        <f>SUM(C156:N156)</f>
        <v>36247</v>
      </c>
    </row>
    <row r="157" spans="1:15" s="239" customFormat="1" ht="15">
      <c r="A157" s="80" t="s">
        <v>336</v>
      </c>
      <c r="B157" s="51" t="s">
        <v>151</v>
      </c>
      <c r="C157" s="152"/>
      <c r="D157" s="152"/>
      <c r="E157" s="152"/>
      <c r="F157" s="152"/>
      <c r="G157" s="118">
        <v>1930</v>
      </c>
      <c r="H157" s="152"/>
      <c r="I157" s="152"/>
      <c r="J157" s="152"/>
      <c r="K157" s="118">
        <v>3194</v>
      </c>
      <c r="L157" s="152">
        <v>27085</v>
      </c>
      <c r="M157" s="61">
        <v>550</v>
      </c>
      <c r="N157" s="200">
        <v>3488</v>
      </c>
      <c r="O157" s="79">
        <f>SUM(C157:N157)</f>
        <v>36247</v>
      </c>
    </row>
    <row r="158" spans="1:15" s="239" customFormat="1" ht="28.5" customHeight="1">
      <c r="A158" s="34" t="s">
        <v>315</v>
      </c>
      <c r="B158" s="30" t="s">
        <v>342</v>
      </c>
      <c r="C158" s="52">
        <f>22324+27500</f>
        <v>49824</v>
      </c>
      <c r="D158" s="152"/>
      <c r="E158" s="152"/>
      <c r="F158" s="152"/>
      <c r="G158" s="118"/>
      <c r="H158" s="152"/>
      <c r="I158" s="152"/>
      <c r="J158" s="152"/>
      <c r="K158" s="118"/>
      <c r="L158" s="152"/>
      <c r="M158" s="61"/>
      <c r="N158" s="105"/>
      <c r="O158" s="158">
        <f t="shared" si="33"/>
        <v>49824</v>
      </c>
    </row>
    <row r="159" spans="1:15" ht="15.75" thickBot="1">
      <c r="A159" s="34" t="s">
        <v>379</v>
      </c>
      <c r="B159" s="40" t="s">
        <v>384</v>
      </c>
      <c r="C159" s="81">
        <v>21096</v>
      </c>
      <c r="D159" s="43"/>
      <c r="E159" s="43"/>
      <c r="F159" s="81"/>
      <c r="G159" s="43"/>
      <c r="H159" s="43"/>
      <c r="I159" s="43"/>
      <c r="J159" s="43"/>
      <c r="K159" s="43"/>
      <c r="L159" s="43"/>
      <c r="M159" s="43"/>
      <c r="N159" s="81"/>
      <c r="O159" s="158">
        <f t="shared" si="33"/>
        <v>21096</v>
      </c>
    </row>
    <row r="160" spans="1:15" ht="15.75" thickBot="1">
      <c r="A160" s="110" t="s">
        <v>6</v>
      </c>
      <c r="B160" s="72" t="s">
        <v>90</v>
      </c>
      <c r="C160" s="74">
        <f aca="true" t="shared" si="36" ref="C160:N160">C161+C165+C184+C187</f>
        <v>2122258</v>
      </c>
      <c r="D160" s="74">
        <f t="shared" si="36"/>
        <v>325769</v>
      </c>
      <c r="E160" s="74">
        <f t="shared" si="36"/>
        <v>1391730</v>
      </c>
      <c r="F160" s="74">
        <f t="shared" si="36"/>
        <v>0</v>
      </c>
      <c r="G160" s="74">
        <f t="shared" si="36"/>
        <v>220242</v>
      </c>
      <c r="H160" s="74">
        <f t="shared" si="36"/>
        <v>96561</v>
      </c>
      <c r="I160" s="74">
        <f t="shared" si="36"/>
        <v>127808</v>
      </c>
      <c r="J160" s="74">
        <f t="shared" si="36"/>
        <v>198501</v>
      </c>
      <c r="K160" s="74">
        <f t="shared" si="36"/>
        <v>42129</v>
      </c>
      <c r="L160" s="74">
        <f t="shared" si="36"/>
        <v>35993</v>
      </c>
      <c r="M160" s="74">
        <f t="shared" si="36"/>
        <v>90467</v>
      </c>
      <c r="N160" s="74">
        <f t="shared" si="36"/>
        <v>50880</v>
      </c>
      <c r="O160" s="75">
        <f t="shared" si="33"/>
        <v>4702338</v>
      </c>
    </row>
    <row r="161" spans="1:15" ht="15">
      <c r="A161" s="150" t="s">
        <v>91</v>
      </c>
      <c r="B161" s="151" t="s">
        <v>92</v>
      </c>
      <c r="C161" s="152">
        <f aca="true" t="shared" si="37" ref="C161:N161">SUM(C162:C164)</f>
        <v>576617</v>
      </c>
      <c r="D161" s="152">
        <f t="shared" si="37"/>
        <v>325769</v>
      </c>
      <c r="E161" s="152">
        <f t="shared" si="37"/>
        <v>0</v>
      </c>
      <c r="F161" s="152">
        <f t="shared" si="37"/>
        <v>0</v>
      </c>
      <c r="G161" s="152">
        <f t="shared" si="37"/>
        <v>5470</v>
      </c>
      <c r="H161" s="152">
        <f t="shared" si="37"/>
        <v>0</v>
      </c>
      <c r="I161" s="152">
        <f t="shared" si="37"/>
        <v>0</v>
      </c>
      <c r="J161" s="152">
        <f t="shared" si="37"/>
        <v>7072</v>
      </c>
      <c r="K161" s="152">
        <f t="shared" si="37"/>
        <v>0</v>
      </c>
      <c r="L161" s="152">
        <f t="shared" si="37"/>
        <v>0</v>
      </c>
      <c r="M161" s="152">
        <f t="shared" si="37"/>
        <v>8400</v>
      </c>
      <c r="N161" s="152">
        <f t="shared" si="37"/>
        <v>0</v>
      </c>
      <c r="O161" s="192">
        <f t="shared" si="33"/>
        <v>923328</v>
      </c>
    </row>
    <row r="162" spans="1:15" ht="15">
      <c r="A162" s="80" t="s">
        <v>219</v>
      </c>
      <c r="B162" s="51" t="s">
        <v>93</v>
      </c>
      <c r="C162" s="81">
        <f>66185+28085</f>
        <v>94270</v>
      </c>
      <c r="D162" s="43"/>
      <c r="E162" s="43"/>
      <c r="F162" s="81"/>
      <c r="G162" s="43">
        <v>5470</v>
      </c>
      <c r="H162" s="43"/>
      <c r="I162" s="43"/>
      <c r="J162" s="43">
        <v>7072</v>
      </c>
      <c r="K162" s="43"/>
      <c r="L162" s="43"/>
      <c r="M162" s="43">
        <v>8400</v>
      </c>
      <c r="N162" s="81"/>
      <c r="O162" s="158">
        <f t="shared" si="33"/>
        <v>115212</v>
      </c>
    </row>
    <row r="163" spans="1:15" ht="30">
      <c r="A163" s="80" t="s">
        <v>220</v>
      </c>
      <c r="B163" s="51" t="s">
        <v>94</v>
      </c>
      <c r="C163" s="81">
        <f>396260+33587+52500</f>
        <v>482347</v>
      </c>
      <c r="D163" s="43"/>
      <c r="E163" s="43"/>
      <c r="F163" s="81"/>
      <c r="G163" s="43"/>
      <c r="H163" s="43"/>
      <c r="I163" s="43"/>
      <c r="J163" s="43"/>
      <c r="K163" s="43"/>
      <c r="L163" s="43"/>
      <c r="M163" s="43"/>
      <c r="N163" s="81"/>
      <c r="O163" s="158">
        <f t="shared" si="33"/>
        <v>482347</v>
      </c>
    </row>
    <row r="164" spans="1:15" ht="15">
      <c r="A164" s="80" t="s">
        <v>292</v>
      </c>
      <c r="B164" s="51" t="s">
        <v>293</v>
      </c>
      <c r="C164" s="81"/>
      <c r="D164" s="81">
        <v>325769</v>
      </c>
      <c r="E164" s="81"/>
      <c r="F164" s="81"/>
      <c r="G164" s="43"/>
      <c r="H164" s="81"/>
      <c r="I164" s="81"/>
      <c r="J164" s="81"/>
      <c r="K164" s="81"/>
      <c r="L164" s="81"/>
      <c r="M164" s="81"/>
      <c r="N164" s="81"/>
      <c r="O164" s="158">
        <f t="shared" si="33"/>
        <v>325769</v>
      </c>
    </row>
    <row r="165" spans="1:15" ht="15">
      <c r="A165" s="157" t="s">
        <v>95</v>
      </c>
      <c r="B165" s="159" t="s">
        <v>5</v>
      </c>
      <c r="C165" s="123">
        <f aca="true" t="shared" si="38" ref="C165:N165">SUM(C166+C167+C170+C174)</f>
        <v>1390354</v>
      </c>
      <c r="D165" s="123">
        <f t="shared" si="38"/>
        <v>0</v>
      </c>
      <c r="E165" s="123">
        <f t="shared" si="38"/>
        <v>1391730</v>
      </c>
      <c r="F165" s="123">
        <f t="shared" si="38"/>
        <v>0</v>
      </c>
      <c r="G165" s="123">
        <f t="shared" si="38"/>
        <v>214772</v>
      </c>
      <c r="H165" s="123">
        <f t="shared" si="38"/>
        <v>96561</v>
      </c>
      <c r="I165" s="123">
        <f t="shared" si="38"/>
        <v>124048</v>
      </c>
      <c r="J165" s="123">
        <f t="shared" si="38"/>
        <v>189640</v>
      </c>
      <c r="K165" s="123">
        <f t="shared" si="38"/>
        <v>42129</v>
      </c>
      <c r="L165" s="123">
        <f t="shared" si="38"/>
        <v>35993</v>
      </c>
      <c r="M165" s="123">
        <f t="shared" si="38"/>
        <v>82067</v>
      </c>
      <c r="N165" s="123">
        <f t="shared" si="38"/>
        <v>50880</v>
      </c>
      <c r="O165" s="158">
        <f t="shared" si="33"/>
        <v>3618174</v>
      </c>
    </row>
    <row r="166" spans="1:15" ht="15">
      <c r="A166" s="80" t="s">
        <v>357</v>
      </c>
      <c r="B166" s="51" t="s">
        <v>152</v>
      </c>
      <c r="C166" s="81">
        <f>403186+3481+500</f>
        <v>407167</v>
      </c>
      <c r="D166" s="43"/>
      <c r="E166" s="43"/>
      <c r="F166" s="81"/>
      <c r="G166" s="86">
        <v>35837</v>
      </c>
      <c r="H166" s="43">
        <v>31405</v>
      </c>
      <c r="I166" s="43">
        <v>14395</v>
      </c>
      <c r="J166" s="43">
        <v>31054</v>
      </c>
      <c r="K166" s="43">
        <v>15331</v>
      </c>
      <c r="L166" s="43">
        <v>14453</v>
      </c>
      <c r="M166" s="43">
        <v>16243</v>
      </c>
      <c r="N166" s="87">
        <v>16700</v>
      </c>
      <c r="O166" s="158">
        <f t="shared" si="33"/>
        <v>582585</v>
      </c>
    </row>
    <row r="167" spans="1:15" ht="15">
      <c r="A167" s="80" t="s">
        <v>409</v>
      </c>
      <c r="B167" s="51" t="s">
        <v>131</v>
      </c>
      <c r="C167" s="81">
        <f aca="true" t="shared" si="39" ref="C167:N167">SUM(C168:C169)</f>
        <v>205456</v>
      </c>
      <c r="D167" s="81">
        <f t="shared" si="39"/>
        <v>0</v>
      </c>
      <c r="E167" s="81">
        <f t="shared" si="39"/>
        <v>0</v>
      </c>
      <c r="F167" s="81">
        <f t="shared" si="39"/>
        <v>0</v>
      </c>
      <c r="G167" s="81">
        <f t="shared" si="39"/>
        <v>0</v>
      </c>
      <c r="H167" s="81">
        <f t="shared" si="39"/>
        <v>0</v>
      </c>
      <c r="I167" s="81">
        <f t="shared" si="39"/>
        <v>0</v>
      </c>
      <c r="J167" s="81">
        <f t="shared" si="39"/>
        <v>0</v>
      </c>
      <c r="K167" s="81">
        <f t="shared" si="39"/>
        <v>0</v>
      </c>
      <c r="L167" s="81">
        <f t="shared" si="39"/>
        <v>0</v>
      </c>
      <c r="M167" s="81">
        <f t="shared" si="39"/>
        <v>12427</v>
      </c>
      <c r="N167" s="81">
        <f t="shared" si="39"/>
        <v>0</v>
      </c>
      <c r="O167" s="158">
        <f t="shared" si="33"/>
        <v>217883</v>
      </c>
    </row>
    <row r="168" spans="1:15" ht="15">
      <c r="A168" s="80" t="s">
        <v>221</v>
      </c>
      <c r="B168" s="51" t="s">
        <v>270</v>
      </c>
      <c r="C168" s="81">
        <f>198636+6820</f>
        <v>205456</v>
      </c>
      <c r="D168" s="43"/>
      <c r="E168" s="43"/>
      <c r="F168" s="81"/>
      <c r="G168" s="43"/>
      <c r="H168" s="43"/>
      <c r="I168" s="43"/>
      <c r="J168" s="43"/>
      <c r="K168" s="43"/>
      <c r="L168" s="43"/>
      <c r="M168" s="43"/>
      <c r="N168" s="85"/>
      <c r="O168" s="158">
        <f t="shared" si="33"/>
        <v>205456</v>
      </c>
    </row>
    <row r="169" spans="1:15" ht="15">
      <c r="A169" s="80" t="s">
        <v>366</v>
      </c>
      <c r="B169" s="63" t="s">
        <v>490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43">
        <v>12427</v>
      </c>
      <c r="N169" s="85"/>
      <c r="O169" s="158">
        <f t="shared" si="33"/>
        <v>12427</v>
      </c>
    </row>
    <row r="170" spans="1:15" ht="15">
      <c r="A170" s="80" t="s">
        <v>96</v>
      </c>
      <c r="B170" s="51" t="s">
        <v>410</v>
      </c>
      <c r="C170" s="81">
        <f aca="true" t="shared" si="40" ref="C170:N170">SUM(C171:C173)</f>
        <v>0</v>
      </c>
      <c r="D170" s="81">
        <f t="shared" si="40"/>
        <v>0</v>
      </c>
      <c r="E170" s="81">
        <f t="shared" si="40"/>
        <v>1391730</v>
      </c>
      <c r="F170" s="81">
        <f t="shared" si="40"/>
        <v>0</v>
      </c>
      <c r="G170" s="81">
        <f t="shared" si="40"/>
        <v>178935</v>
      </c>
      <c r="H170" s="81">
        <f t="shared" si="40"/>
        <v>65156</v>
      </c>
      <c r="I170" s="81">
        <f t="shared" si="40"/>
        <v>108853</v>
      </c>
      <c r="J170" s="81">
        <f t="shared" si="40"/>
        <v>152421</v>
      </c>
      <c r="K170" s="81">
        <f t="shared" si="40"/>
        <v>26498</v>
      </c>
      <c r="L170" s="81">
        <f t="shared" si="40"/>
        <v>21040</v>
      </c>
      <c r="M170" s="81">
        <f t="shared" si="40"/>
        <v>53397</v>
      </c>
      <c r="N170" s="81">
        <f t="shared" si="40"/>
        <v>31730</v>
      </c>
      <c r="O170" s="158">
        <f t="shared" si="33"/>
        <v>2029760</v>
      </c>
    </row>
    <row r="171" spans="1:15" ht="15">
      <c r="A171" s="80" t="s">
        <v>316</v>
      </c>
      <c r="B171" s="51" t="s">
        <v>344</v>
      </c>
      <c r="C171" s="81"/>
      <c r="D171" s="43"/>
      <c r="E171" s="43">
        <f>412469-107854-25100</f>
        <v>279515</v>
      </c>
      <c r="F171" s="81"/>
      <c r="G171" s="86">
        <v>178935</v>
      </c>
      <c r="H171" s="43">
        <v>65156</v>
      </c>
      <c r="I171" s="43">
        <v>90320</v>
      </c>
      <c r="J171" s="43">
        <v>152421</v>
      </c>
      <c r="K171" s="43">
        <v>26498</v>
      </c>
      <c r="L171" s="43">
        <v>21040</v>
      </c>
      <c r="M171" s="43">
        <v>53397</v>
      </c>
      <c r="N171" s="182">
        <v>31730</v>
      </c>
      <c r="O171" s="158">
        <f t="shared" si="33"/>
        <v>899012</v>
      </c>
    </row>
    <row r="172" spans="1:15" ht="15">
      <c r="A172" s="80" t="s">
        <v>367</v>
      </c>
      <c r="B172" s="51" t="s">
        <v>411</v>
      </c>
      <c r="C172" s="81"/>
      <c r="D172" s="43"/>
      <c r="E172" s="43"/>
      <c r="F172" s="81"/>
      <c r="G172" s="86"/>
      <c r="H172" s="43"/>
      <c r="I172" s="43">
        <v>18533</v>
      </c>
      <c r="J172" s="43"/>
      <c r="K172" s="43"/>
      <c r="L172" s="43"/>
      <c r="M172" s="43"/>
      <c r="N172" s="85"/>
      <c r="O172" s="158">
        <f t="shared" si="33"/>
        <v>18533</v>
      </c>
    </row>
    <row r="173" spans="1:15" ht="15">
      <c r="A173" s="80" t="s">
        <v>343</v>
      </c>
      <c r="B173" s="51" t="s">
        <v>132</v>
      </c>
      <c r="C173" s="81"/>
      <c r="D173" s="43"/>
      <c r="E173" s="43">
        <f>1104469+78143-397-70000</f>
        <v>1112215</v>
      </c>
      <c r="F173" s="81"/>
      <c r="G173" s="43"/>
      <c r="H173" s="43"/>
      <c r="I173" s="43"/>
      <c r="J173" s="43"/>
      <c r="K173" s="43"/>
      <c r="L173" s="43"/>
      <c r="M173" s="43"/>
      <c r="N173" s="81"/>
      <c r="O173" s="158">
        <f t="shared" si="33"/>
        <v>1112215</v>
      </c>
    </row>
    <row r="174" spans="1:15" s="239" customFormat="1" ht="14.25">
      <c r="A174" s="157" t="s">
        <v>97</v>
      </c>
      <c r="B174" s="120" t="s">
        <v>222</v>
      </c>
      <c r="C174" s="61">
        <f aca="true" t="shared" si="41" ref="C174:N174">SUM(C175:C183)</f>
        <v>777731</v>
      </c>
      <c r="D174" s="61">
        <f t="shared" si="41"/>
        <v>0</v>
      </c>
      <c r="E174" s="61">
        <f t="shared" si="41"/>
        <v>0</v>
      </c>
      <c r="F174" s="61">
        <f t="shared" si="41"/>
        <v>0</v>
      </c>
      <c r="G174" s="61">
        <f t="shared" si="41"/>
        <v>0</v>
      </c>
      <c r="H174" s="61">
        <f t="shared" si="41"/>
        <v>0</v>
      </c>
      <c r="I174" s="61">
        <f t="shared" si="41"/>
        <v>800</v>
      </c>
      <c r="J174" s="61">
        <f t="shared" si="41"/>
        <v>6165</v>
      </c>
      <c r="K174" s="61">
        <f t="shared" si="41"/>
        <v>300</v>
      </c>
      <c r="L174" s="61">
        <f t="shared" si="41"/>
        <v>500</v>
      </c>
      <c r="M174" s="61">
        <f t="shared" si="41"/>
        <v>0</v>
      </c>
      <c r="N174" s="61">
        <f t="shared" si="41"/>
        <v>2450</v>
      </c>
      <c r="O174" s="158">
        <f t="shared" si="33"/>
        <v>787946</v>
      </c>
    </row>
    <row r="175" spans="1:15" ht="15">
      <c r="A175" s="80" t="s">
        <v>223</v>
      </c>
      <c r="B175" s="63" t="s">
        <v>317</v>
      </c>
      <c r="C175" s="161">
        <f>78885+15000-3152</f>
        <v>90733</v>
      </c>
      <c r="D175" s="43"/>
      <c r="E175" s="43"/>
      <c r="F175" s="81"/>
      <c r="G175" s="43"/>
      <c r="H175" s="43"/>
      <c r="I175" s="43"/>
      <c r="J175" s="43"/>
      <c r="K175" s="43"/>
      <c r="L175" s="43"/>
      <c r="M175" s="43"/>
      <c r="N175" s="81">
        <v>1450</v>
      </c>
      <c r="O175" s="158">
        <f t="shared" si="33"/>
        <v>92183</v>
      </c>
    </row>
    <row r="176" spans="1:15" ht="15">
      <c r="A176" s="80" t="s">
        <v>224</v>
      </c>
      <c r="B176" s="63" t="s">
        <v>133</v>
      </c>
      <c r="C176" s="81">
        <f>158278+135051+21300</f>
        <v>314629</v>
      </c>
      <c r="D176" s="43"/>
      <c r="E176" s="43"/>
      <c r="F176" s="81"/>
      <c r="G176" s="43"/>
      <c r="H176" s="43"/>
      <c r="I176" s="43"/>
      <c r="J176" s="43"/>
      <c r="K176" s="43"/>
      <c r="L176" s="43"/>
      <c r="M176" s="43"/>
      <c r="N176" s="81"/>
      <c r="O176" s="158">
        <f t="shared" si="33"/>
        <v>314629</v>
      </c>
    </row>
    <row r="177" spans="1:15" ht="30">
      <c r="A177" s="80" t="s">
        <v>337</v>
      </c>
      <c r="B177" s="63" t="s">
        <v>491</v>
      </c>
      <c r="C177" s="161">
        <f>20000-8915+150</f>
        <v>11235</v>
      </c>
      <c r="D177" s="43"/>
      <c r="E177" s="43"/>
      <c r="F177" s="81"/>
      <c r="G177" s="43"/>
      <c r="H177" s="43"/>
      <c r="I177" s="43">
        <v>800</v>
      </c>
      <c r="J177" s="43">
        <v>6165</v>
      </c>
      <c r="K177" s="43">
        <v>300</v>
      </c>
      <c r="L177" s="43">
        <v>500</v>
      </c>
      <c r="M177" s="43"/>
      <c r="N177" s="81">
        <v>1000</v>
      </c>
      <c r="O177" s="158">
        <f t="shared" si="33"/>
        <v>20000</v>
      </c>
    </row>
    <row r="178" spans="1:15" ht="30">
      <c r="A178" s="34" t="s">
        <v>340</v>
      </c>
      <c r="B178" s="32" t="s">
        <v>412</v>
      </c>
      <c r="C178" s="81">
        <f>167444-369</f>
        <v>167075</v>
      </c>
      <c r="D178" s="43"/>
      <c r="E178" s="43"/>
      <c r="F178" s="81"/>
      <c r="G178" s="43"/>
      <c r="H178" s="43"/>
      <c r="I178" s="43"/>
      <c r="J178" s="43"/>
      <c r="K178" s="43"/>
      <c r="L178" s="43"/>
      <c r="M178" s="43"/>
      <c r="N178" s="81"/>
      <c r="O178" s="158">
        <f t="shared" si="33"/>
        <v>167075</v>
      </c>
    </row>
    <row r="179" spans="1:15" ht="45">
      <c r="A179" s="80" t="s">
        <v>280</v>
      </c>
      <c r="B179" s="201" t="s">
        <v>492</v>
      </c>
      <c r="C179" s="81">
        <v>20000</v>
      </c>
      <c r="D179" s="43"/>
      <c r="E179" s="43"/>
      <c r="F179" s="81"/>
      <c r="G179" s="43"/>
      <c r="H179" s="43"/>
      <c r="I179" s="43"/>
      <c r="J179" s="43"/>
      <c r="K179" s="43"/>
      <c r="L179" s="43"/>
      <c r="M179" s="43"/>
      <c r="N179" s="81"/>
      <c r="O179" s="158">
        <f t="shared" si="33"/>
        <v>20000</v>
      </c>
    </row>
    <row r="180" spans="1:15" ht="47.25">
      <c r="A180" s="34" t="s">
        <v>413</v>
      </c>
      <c r="B180" s="38" t="s">
        <v>493</v>
      </c>
      <c r="C180" s="81">
        <v>53540</v>
      </c>
      <c r="D180" s="43"/>
      <c r="E180" s="43"/>
      <c r="F180" s="81"/>
      <c r="G180" s="43"/>
      <c r="H180" s="43"/>
      <c r="I180" s="43"/>
      <c r="J180" s="43"/>
      <c r="K180" s="43"/>
      <c r="L180" s="43"/>
      <c r="M180" s="43"/>
      <c r="N180" s="81"/>
      <c r="O180" s="158">
        <f t="shared" si="33"/>
        <v>53540</v>
      </c>
    </row>
    <row r="181" spans="1:15" ht="45">
      <c r="A181" s="34" t="s">
        <v>439</v>
      </c>
      <c r="B181" s="54" t="s">
        <v>438</v>
      </c>
      <c r="C181" s="81">
        <f>53875+12294</f>
        <v>66169</v>
      </c>
      <c r="D181" s="43"/>
      <c r="E181" s="43"/>
      <c r="F181" s="81"/>
      <c r="G181" s="43"/>
      <c r="H181" s="43"/>
      <c r="I181" s="43"/>
      <c r="J181" s="43"/>
      <c r="K181" s="43"/>
      <c r="L181" s="43"/>
      <c r="M181" s="43"/>
      <c r="N181" s="81"/>
      <c r="O181" s="158">
        <f t="shared" si="33"/>
        <v>66169</v>
      </c>
    </row>
    <row r="182" spans="1:15" ht="30">
      <c r="A182" s="34" t="s">
        <v>510</v>
      </c>
      <c r="B182" s="54" t="s">
        <v>511</v>
      </c>
      <c r="C182" s="81">
        <v>51750</v>
      </c>
      <c r="D182" s="43"/>
      <c r="E182" s="43"/>
      <c r="F182" s="81"/>
      <c r="G182" s="43"/>
      <c r="H182" s="43"/>
      <c r="I182" s="43"/>
      <c r="J182" s="43"/>
      <c r="K182" s="43"/>
      <c r="L182" s="43"/>
      <c r="M182" s="43"/>
      <c r="N182" s="81"/>
      <c r="O182" s="158">
        <f t="shared" si="33"/>
        <v>51750</v>
      </c>
    </row>
    <row r="183" spans="1:15" ht="30">
      <c r="A183" s="34" t="s">
        <v>518</v>
      </c>
      <c r="B183" s="54" t="s">
        <v>549</v>
      </c>
      <c r="C183" s="81">
        <v>2600</v>
      </c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158">
        <f t="shared" si="33"/>
        <v>2600</v>
      </c>
    </row>
    <row r="184" spans="1:15" ht="15">
      <c r="A184" s="157" t="s">
        <v>345</v>
      </c>
      <c r="B184" s="202" t="s">
        <v>346</v>
      </c>
      <c r="C184" s="81">
        <f aca="true" t="shared" si="42" ref="C184:N184">SUM(C185:C186)</f>
        <v>139124</v>
      </c>
      <c r="D184" s="81">
        <f t="shared" si="42"/>
        <v>0</v>
      </c>
      <c r="E184" s="81">
        <f t="shared" si="42"/>
        <v>0</v>
      </c>
      <c r="F184" s="81">
        <f t="shared" si="42"/>
        <v>0</v>
      </c>
      <c r="G184" s="81">
        <f t="shared" si="42"/>
        <v>0</v>
      </c>
      <c r="H184" s="81">
        <f t="shared" si="42"/>
        <v>0</v>
      </c>
      <c r="I184" s="81">
        <f t="shared" si="42"/>
        <v>3760</v>
      </c>
      <c r="J184" s="81">
        <f t="shared" si="42"/>
        <v>1789</v>
      </c>
      <c r="K184" s="81">
        <f t="shared" si="42"/>
        <v>0</v>
      </c>
      <c r="L184" s="81">
        <f t="shared" si="42"/>
        <v>0</v>
      </c>
      <c r="M184" s="81">
        <f t="shared" si="42"/>
        <v>0</v>
      </c>
      <c r="N184" s="81">
        <f t="shared" si="42"/>
        <v>0</v>
      </c>
      <c r="O184" s="158">
        <f t="shared" si="33"/>
        <v>144673</v>
      </c>
    </row>
    <row r="185" spans="1:15" ht="15">
      <c r="A185" s="33" t="s">
        <v>368</v>
      </c>
      <c r="B185" s="120" t="s">
        <v>98</v>
      </c>
      <c r="C185" s="203">
        <v>60000</v>
      </c>
      <c r="D185" s="61"/>
      <c r="E185" s="61"/>
      <c r="F185" s="123"/>
      <c r="G185" s="43"/>
      <c r="H185" s="43"/>
      <c r="I185" s="43"/>
      <c r="J185" s="43"/>
      <c r="K185" s="43"/>
      <c r="L185" s="43"/>
      <c r="M185" s="43"/>
      <c r="N185" s="81"/>
      <c r="O185" s="158">
        <f t="shared" si="33"/>
        <v>60000</v>
      </c>
    </row>
    <row r="186" spans="1:15" ht="29.25">
      <c r="A186" s="33" t="s">
        <v>369</v>
      </c>
      <c r="B186" s="120" t="s">
        <v>99</v>
      </c>
      <c r="C186" s="123">
        <f>73124+6000</f>
        <v>79124</v>
      </c>
      <c r="D186" s="61"/>
      <c r="E186" s="61"/>
      <c r="F186" s="123"/>
      <c r="G186" s="43"/>
      <c r="H186" s="43"/>
      <c r="I186" s="43">
        <v>3760</v>
      </c>
      <c r="J186" s="43">
        <v>1789</v>
      </c>
      <c r="K186" s="43"/>
      <c r="L186" s="43"/>
      <c r="M186" s="43"/>
      <c r="N186" s="81"/>
      <c r="O186" s="158">
        <f t="shared" si="33"/>
        <v>84673</v>
      </c>
    </row>
    <row r="187" spans="1:15" ht="44.25" thickBot="1">
      <c r="A187" s="41" t="s">
        <v>538</v>
      </c>
      <c r="B187" s="204" t="s">
        <v>539</v>
      </c>
      <c r="C187" s="179">
        <f>15000+1163</f>
        <v>16163</v>
      </c>
      <c r="D187" s="205"/>
      <c r="E187" s="205"/>
      <c r="F187" s="179"/>
      <c r="G187" s="108"/>
      <c r="H187" s="108"/>
      <c r="I187" s="108"/>
      <c r="J187" s="108"/>
      <c r="K187" s="108"/>
      <c r="L187" s="108"/>
      <c r="M187" s="108"/>
      <c r="N187" s="109"/>
      <c r="O187" s="158">
        <f t="shared" si="33"/>
        <v>16163</v>
      </c>
    </row>
    <row r="188" spans="1:15" ht="15.75" thickBot="1">
      <c r="A188" s="206" t="s">
        <v>100</v>
      </c>
      <c r="B188" s="191" t="s">
        <v>0</v>
      </c>
      <c r="C188" s="73">
        <f aca="true" t="shared" si="43" ref="C188:N188">C189+C199+C200+C211+C218+C222+C223</f>
        <v>17564184</v>
      </c>
      <c r="D188" s="73">
        <f t="shared" si="43"/>
        <v>0</v>
      </c>
      <c r="E188" s="73">
        <f t="shared" si="43"/>
        <v>0</v>
      </c>
      <c r="F188" s="73">
        <f t="shared" si="43"/>
        <v>0</v>
      </c>
      <c r="G188" s="73">
        <f t="shared" si="43"/>
        <v>1637904</v>
      </c>
      <c r="H188" s="73">
        <f t="shared" si="43"/>
        <v>0</v>
      </c>
      <c r="I188" s="73">
        <f t="shared" si="43"/>
        <v>470185</v>
      </c>
      <c r="J188" s="73">
        <f t="shared" si="43"/>
        <v>1400609</v>
      </c>
      <c r="K188" s="73">
        <f t="shared" si="43"/>
        <v>35559</v>
      </c>
      <c r="L188" s="73">
        <f t="shared" si="43"/>
        <v>44640</v>
      </c>
      <c r="M188" s="73">
        <f t="shared" si="43"/>
        <v>39086</v>
      </c>
      <c r="N188" s="73">
        <f t="shared" si="43"/>
        <v>650452</v>
      </c>
      <c r="O188" s="75">
        <f t="shared" si="33"/>
        <v>21842619</v>
      </c>
    </row>
    <row r="189" spans="1:15" ht="15">
      <c r="A189" s="150" t="s">
        <v>101</v>
      </c>
      <c r="B189" s="151" t="s">
        <v>225</v>
      </c>
      <c r="C189" s="152">
        <f>SUM(C190:C198)</f>
        <v>5020004</v>
      </c>
      <c r="D189" s="152">
        <f aca="true" t="shared" si="44" ref="D189:N189">SUM(D190:D198)</f>
        <v>0</v>
      </c>
      <c r="E189" s="152">
        <f t="shared" si="44"/>
        <v>0</v>
      </c>
      <c r="F189" s="152">
        <f t="shared" si="44"/>
        <v>0</v>
      </c>
      <c r="G189" s="152">
        <f t="shared" si="44"/>
        <v>0</v>
      </c>
      <c r="H189" s="152">
        <f t="shared" si="44"/>
        <v>0</v>
      </c>
      <c r="I189" s="152">
        <f t="shared" si="44"/>
        <v>0</v>
      </c>
      <c r="J189" s="152">
        <f t="shared" si="44"/>
        <v>369284</v>
      </c>
      <c r="K189" s="152">
        <f t="shared" si="44"/>
        <v>0</v>
      </c>
      <c r="L189" s="152">
        <f t="shared" si="44"/>
        <v>0</v>
      </c>
      <c r="M189" s="152">
        <f t="shared" si="44"/>
        <v>0</v>
      </c>
      <c r="N189" s="152">
        <f t="shared" si="44"/>
        <v>0</v>
      </c>
      <c r="O189" s="192">
        <f t="shared" si="33"/>
        <v>5389288</v>
      </c>
    </row>
    <row r="190" spans="1:15" ht="15">
      <c r="A190" s="80" t="s">
        <v>226</v>
      </c>
      <c r="B190" s="51" t="s">
        <v>102</v>
      </c>
      <c r="C190" s="81">
        <f>850445-135+49270+28900</f>
        <v>928480</v>
      </c>
      <c r="D190" s="43"/>
      <c r="E190" s="43"/>
      <c r="F190" s="81"/>
      <c r="G190" s="43"/>
      <c r="H190" s="43"/>
      <c r="I190" s="43"/>
      <c r="J190" s="43"/>
      <c r="K190" s="43"/>
      <c r="L190" s="43"/>
      <c r="M190" s="43"/>
      <c r="N190" s="81"/>
      <c r="O190" s="158">
        <f t="shared" si="33"/>
        <v>928480</v>
      </c>
    </row>
    <row r="191" spans="1:15" ht="15">
      <c r="A191" s="80" t="s">
        <v>227</v>
      </c>
      <c r="B191" s="51" t="s">
        <v>103</v>
      </c>
      <c r="C191" s="81">
        <f>626427+28768</f>
        <v>655195</v>
      </c>
      <c r="D191" s="43"/>
      <c r="E191" s="43"/>
      <c r="F191" s="81"/>
      <c r="G191" s="43"/>
      <c r="H191" s="43"/>
      <c r="I191" s="43"/>
      <c r="J191" s="43"/>
      <c r="K191" s="43"/>
      <c r="L191" s="43"/>
      <c r="M191" s="43"/>
      <c r="N191" s="81"/>
      <c r="O191" s="158">
        <f t="shared" si="33"/>
        <v>655195</v>
      </c>
    </row>
    <row r="192" spans="1:15" ht="15">
      <c r="A192" s="80" t="s">
        <v>228</v>
      </c>
      <c r="B192" s="51" t="s">
        <v>104</v>
      </c>
      <c r="C192" s="81">
        <f>655765+2544+48732</f>
        <v>707041</v>
      </c>
      <c r="D192" s="43"/>
      <c r="E192" s="43"/>
      <c r="F192" s="81"/>
      <c r="G192" s="43"/>
      <c r="H192" s="43"/>
      <c r="I192" s="43"/>
      <c r="J192" s="43"/>
      <c r="K192" s="43"/>
      <c r="L192" s="43"/>
      <c r="M192" s="43"/>
      <c r="N192" s="81"/>
      <c r="O192" s="158">
        <f t="shared" si="33"/>
        <v>707041</v>
      </c>
    </row>
    <row r="193" spans="1:15" ht="15">
      <c r="A193" s="80" t="s">
        <v>229</v>
      </c>
      <c r="B193" s="51" t="s">
        <v>105</v>
      </c>
      <c r="C193" s="81">
        <f>727519+45964</f>
        <v>773483</v>
      </c>
      <c r="D193" s="43"/>
      <c r="E193" s="43"/>
      <c r="F193" s="81"/>
      <c r="G193" s="43"/>
      <c r="H193" s="43"/>
      <c r="I193" s="43"/>
      <c r="J193" s="43"/>
      <c r="K193" s="43"/>
      <c r="L193" s="43"/>
      <c r="M193" s="43"/>
      <c r="N193" s="81"/>
      <c r="O193" s="158">
        <f t="shared" si="33"/>
        <v>773483</v>
      </c>
    </row>
    <row r="194" spans="1:15" ht="15">
      <c r="A194" s="80" t="s">
        <v>230</v>
      </c>
      <c r="B194" s="51" t="s">
        <v>106</v>
      </c>
      <c r="C194" s="81">
        <f>411221+56137+18560+1200</f>
        <v>487118</v>
      </c>
      <c r="D194" s="43"/>
      <c r="E194" s="43"/>
      <c r="F194" s="81"/>
      <c r="G194" s="43"/>
      <c r="H194" s="43"/>
      <c r="I194" s="43"/>
      <c r="J194" s="43"/>
      <c r="K194" s="43"/>
      <c r="L194" s="43"/>
      <c r="M194" s="43"/>
      <c r="N194" s="81"/>
      <c r="O194" s="158">
        <f t="shared" si="33"/>
        <v>487118</v>
      </c>
    </row>
    <row r="195" spans="1:15" ht="15">
      <c r="A195" s="80" t="s">
        <v>231</v>
      </c>
      <c r="B195" s="51" t="s">
        <v>134</v>
      </c>
      <c r="C195" s="81">
        <f>783775+35051+11562</f>
        <v>830388</v>
      </c>
      <c r="D195" s="43"/>
      <c r="E195" s="43"/>
      <c r="F195" s="81"/>
      <c r="G195" s="43"/>
      <c r="H195" s="43"/>
      <c r="I195" s="43"/>
      <c r="J195" s="43"/>
      <c r="K195" s="43"/>
      <c r="L195" s="43"/>
      <c r="M195" s="43"/>
      <c r="N195" s="81"/>
      <c r="O195" s="158">
        <f t="shared" si="33"/>
        <v>830388</v>
      </c>
    </row>
    <row r="196" spans="1:15" ht="15">
      <c r="A196" s="80" t="s">
        <v>232</v>
      </c>
      <c r="B196" s="51" t="s">
        <v>153</v>
      </c>
      <c r="C196" s="81">
        <f>402890+15209+5200</f>
        <v>423299</v>
      </c>
      <c r="D196" s="81"/>
      <c r="E196" s="81"/>
      <c r="F196" s="81"/>
      <c r="G196" s="43"/>
      <c r="H196" s="43"/>
      <c r="I196" s="43"/>
      <c r="J196" s="81"/>
      <c r="K196" s="81"/>
      <c r="L196" s="81"/>
      <c r="M196" s="81"/>
      <c r="N196" s="81"/>
      <c r="O196" s="158">
        <f t="shared" si="33"/>
        <v>423299</v>
      </c>
    </row>
    <row r="197" spans="1:15" ht="15">
      <c r="A197" s="80" t="s">
        <v>233</v>
      </c>
      <c r="B197" s="51" t="s">
        <v>154</v>
      </c>
      <c r="C197" s="81"/>
      <c r="D197" s="81"/>
      <c r="E197" s="81"/>
      <c r="F197" s="81"/>
      <c r="G197" s="43"/>
      <c r="H197" s="43"/>
      <c r="I197" s="43"/>
      <c r="J197" s="17">
        <v>369284</v>
      </c>
      <c r="K197" s="81"/>
      <c r="L197" s="81"/>
      <c r="M197" s="81"/>
      <c r="N197" s="81"/>
      <c r="O197" s="158">
        <f t="shared" si="33"/>
        <v>369284</v>
      </c>
    </row>
    <row r="198" spans="1:15" ht="30">
      <c r="A198" s="80" t="s">
        <v>234</v>
      </c>
      <c r="B198" s="51" t="s">
        <v>494</v>
      </c>
      <c r="C198" s="81">
        <f>180000+35000</f>
        <v>215000</v>
      </c>
      <c r="D198" s="81"/>
      <c r="E198" s="81"/>
      <c r="F198" s="81"/>
      <c r="G198" s="43"/>
      <c r="H198" s="43"/>
      <c r="I198" s="43"/>
      <c r="J198" s="81"/>
      <c r="K198" s="81"/>
      <c r="L198" s="81"/>
      <c r="M198" s="81"/>
      <c r="N198" s="124"/>
      <c r="O198" s="158">
        <f>SUM(C198:N198)</f>
        <v>215000</v>
      </c>
    </row>
    <row r="199" spans="1:15" ht="15">
      <c r="A199" s="157" t="s">
        <v>107</v>
      </c>
      <c r="B199" s="120" t="s">
        <v>235</v>
      </c>
      <c r="C199" s="81">
        <f>1126647-81591+327258+12150+12450+500</f>
        <v>1397414</v>
      </c>
      <c r="D199" s="81"/>
      <c r="E199" s="81"/>
      <c r="F199" s="81"/>
      <c r="G199" s="86"/>
      <c r="H199" s="81"/>
      <c r="I199" s="81"/>
      <c r="J199" s="81"/>
      <c r="K199" s="81"/>
      <c r="L199" s="81"/>
      <c r="M199" s="81"/>
      <c r="N199" s="81"/>
      <c r="O199" s="158">
        <f>SUM(C199:N199)</f>
        <v>1397414</v>
      </c>
    </row>
    <row r="200" spans="1:15" ht="29.25">
      <c r="A200" s="157" t="s">
        <v>157</v>
      </c>
      <c r="B200" s="120" t="s">
        <v>236</v>
      </c>
      <c r="C200" s="123">
        <f>SUM(C201:C210)</f>
        <v>6109497</v>
      </c>
      <c r="D200" s="123">
        <f aca="true" t="shared" si="45" ref="D200:N200">SUM(D201:D210)</f>
        <v>0</v>
      </c>
      <c r="E200" s="123">
        <f t="shared" si="45"/>
        <v>0</v>
      </c>
      <c r="F200" s="123">
        <f t="shared" si="45"/>
        <v>0</v>
      </c>
      <c r="G200" s="123">
        <f t="shared" si="45"/>
        <v>1508270</v>
      </c>
      <c r="H200" s="123">
        <f t="shared" si="45"/>
        <v>0</v>
      </c>
      <c r="I200" s="123">
        <f t="shared" si="45"/>
        <v>445710</v>
      </c>
      <c r="J200" s="123">
        <f t="shared" si="45"/>
        <v>707148</v>
      </c>
      <c r="K200" s="123">
        <f t="shared" si="45"/>
        <v>0</v>
      </c>
      <c r="L200" s="123">
        <f t="shared" si="45"/>
        <v>2080</v>
      </c>
      <c r="M200" s="123">
        <f t="shared" si="45"/>
        <v>23639</v>
      </c>
      <c r="N200" s="123">
        <f t="shared" si="45"/>
        <v>632666</v>
      </c>
      <c r="O200" s="158">
        <f aca="true" t="shared" si="46" ref="O200:O247">SUM(C200:N200)</f>
        <v>9429010</v>
      </c>
    </row>
    <row r="201" spans="1:15" ht="15">
      <c r="A201" s="80" t="s">
        <v>237</v>
      </c>
      <c r="B201" s="51" t="s">
        <v>108</v>
      </c>
      <c r="C201" s="81">
        <f>2108933-87284+670725+15662-463+3983</f>
        <v>2711556</v>
      </c>
      <c r="D201" s="43"/>
      <c r="E201" s="43"/>
      <c r="F201" s="81"/>
      <c r="G201" s="43"/>
      <c r="H201" s="43"/>
      <c r="I201" s="43"/>
      <c r="J201" s="43"/>
      <c r="K201" s="43"/>
      <c r="L201" s="43"/>
      <c r="M201" s="43"/>
      <c r="N201" s="81"/>
      <c r="O201" s="158">
        <f t="shared" si="46"/>
        <v>2711556</v>
      </c>
    </row>
    <row r="202" spans="1:15" ht="15">
      <c r="A202" s="80" t="s">
        <v>238</v>
      </c>
      <c r="B202" s="51" t="s">
        <v>239</v>
      </c>
      <c r="C202" s="81">
        <f>1074301+9755+301281+14532+20400+2646</f>
        <v>1422915</v>
      </c>
      <c r="D202" s="43"/>
      <c r="E202" s="43"/>
      <c r="F202" s="81"/>
      <c r="G202" s="43"/>
      <c r="H202" s="43"/>
      <c r="I202" s="43"/>
      <c r="J202" s="43"/>
      <c r="K202" s="43"/>
      <c r="L202" s="43"/>
      <c r="M202" s="43"/>
      <c r="N202" s="81"/>
      <c r="O202" s="158">
        <f t="shared" si="46"/>
        <v>1422915</v>
      </c>
    </row>
    <row r="203" spans="1:15" ht="15">
      <c r="A203" s="80" t="s">
        <v>240</v>
      </c>
      <c r="B203" s="51" t="s">
        <v>109</v>
      </c>
      <c r="C203" s="81">
        <f>1096137-37546+296709+19052+730+2048</f>
        <v>1377130</v>
      </c>
      <c r="D203" s="43"/>
      <c r="E203" s="43"/>
      <c r="F203" s="81"/>
      <c r="G203" s="43"/>
      <c r="H203" s="43"/>
      <c r="I203" s="43"/>
      <c r="J203" s="43"/>
      <c r="K203" s="43"/>
      <c r="L203" s="43"/>
      <c r="M203" s="43"/>
      <c r="N203" s="81"/>
      <c r="O203" s="158">
        <f t="shared" si="46"/>
        <v>1377130</v>
      </c>
    </row>
    <row r="204" spans="1:15" ht="15">
      <c r="A204" s="80" t="s">
        <v>241</v>
      </c>
      <c r="B204" s="51" t="s">
        <v>110</v>
      </c>
      <c r="C204" s="81">
        <f>414116+1659+105541+6136+404</f>
        <v>527856</v>
      </c>
      <c r="D204" s="43"/>
      <c r="E204" s="43"/>
      <c r="F204" s="81"/>
      <c r="G204" s="43"/>
      <c r="H204" s="43"/>
      <c r="I204" s="43"/>
      <c r="J204" s="43"/>
      <c r="K204" s="43"/>
      <c r="L204" s="43"/>
      <c r="M204" s="43"/>
      <c r="N204" s="81"/>
      <c r="O204" s="158">
        <f t="shared" si="46"/>
        <v>527856</v>
      </c>
    </row>
    <row r="205" spans="1:15" ht="15">
      <c r="A205" s="80" t="s">
        <v>242</v>
      </c>
      <c r="B205" s="51" t="s">
        <v>155</v>
      </c>
      <c r="C205" s="81"/>
      <c r="D205" s="43"/>
      <c r="E205" s="43"/>
      <c r="F205" s="81"/>
      <c r="G205" s="43"/>
      <c r="H205" s="43"/>
      <c r="I205" s="43">
        <f>445328+382</f>
        <v>445710</v>
      </c>
      <c r="J205" s="81"/>
      <c r="K205" s="81"/>
      <c r="L205" s="81"/>
      <c r="M205" s="81"/>
      <c r="N205" s="81"/>
      <c r="O205" s="158">
        <f t="shared" si="46"/>
        <v>445710</v>
      </c>
    </row>
    <row r="206" spans="1:15" ht="15">
      <c r="A206" s="80" t="s">
        <v>243</v>
      </c>
      <c r="B206" s="51" t="s">
        <v>156</v>
      </c>
      <c r="C206" s="81"/>
      <c r="D206" s="43"/>
      <c r="E206" s="43"/>
      <c r="F206" s="81"/>
      <c r="G206" s="43"/>
      <c r="H206" s="43"/>
      <c r="I206" s="43"/>
      <c r="J206" s="43">
        <f>706332+816</f>
        <v>707148</v>
      </c>
      <c r="K206" s="81"/>
      <c r="L206" s="81"/>
      <c r="M206" s="81"/>
      <c r="N206" s="81"/>
      <c r="O206" s="158">
        <f t="shared" si="46"/>
        <v>707148</v>
      </c>
    </row>
    <row r="207" spans="1:15" ht="15">
      <c r="A207" s="80" t="s">
        <v>244</v>
      </c>
      <c r="B207" s="51" t="s">
        <v>274</v>
      </c>
      <c r="C207" s="81"/>
      <c r="D207" s="43"/>
      <c r="E207" s="43"/>
      <c r="F207" s="81"/>
      <c r="G207" s="43"/>
      <c r="H207" s="43"/>
      <c r="I207" s="43"/>
      <c r="J207" s="81"/>
      <c r="K207" s="81"/>
      <c r="L207" s="81">
        <v>2080</v>
      </c>
      <c r="M207" s="43">
        <v>23639</v>
      </c>
      <c r="N207" s="87">
        <f>631879+787</f>
        <v>632666</v>
      </c>
      <c r="O207" s="158">
        <f t="shared" si="46"/>
        <v>658385</v>
      </c>
    </row>
    <row r="208" spans="1:15" ht="15">
      <c r="A208" s="80" t="s">
        <v>245</v>
      </c>
      <c r="B208" s="51" t="s">
        <v>158</v>
      </c>
      <c r="C208" s="81"/>
      <c r="D208" s="43"/>
      <c r="E208" s="43"/>
      <c r="F208" s="81"/>
      <c r="G208" s="86">
        <f>1152396+1262</f>
        <v>1153658</v>
      </c>
      <c r="H208" s="43"/>
      <c r="I208" s="43"/>
      <c r="J208" s="81"/>
      <c r="K208" s="81"/>
      <c r="L208" s="81"/>
      <c r="M208" s="81"/>
      <c r="N208" s="81"/>
      <c r="O208" s="158">
        <f t="shared" si="46"/>
        <v>1153658</v>
      </c>
    </row>
    <row r="209" spans="1:15" ht="15">
      <c r="A209" s="80" t="s">
        <v>246</v>
      </c>
      <c r="B209" s="51" t="s">
        <v>495</v>
      </c>
      <c r="C209" s="81"/>
      <c r="D209" s="81"/>
      <c r="E209" s="81"/>
      <c r="F209" s="81"/>
      <c r="G209" s="86">
        <v>354612</v>
      </c>
      <c r="H209" s="43"/>
      <c r="I209" s="43"/>
      <c r="J209" s="81"/>
      <c r="K209" s="81"/>
      <c r="L209" s="81"/>
      <c r="M209" s="81"/>
      <c r="N209" s="81"/>
      <c r="O209" s="158">
        <f t="shared" si="46"/>
        <v>354612</v>
      </c>
    </row>
    <row r="210" spans="1:15" ht="31.5" customHeight="1">
      <c r="A210" s="186" t="s">
        <v>545</v>
      </c>
      <c r="B210" s="51" t="s">
        <v>544</v>
      </c>
      <c r="C210" s="81">
        <v>70040</v>
      </c>
      <c r="D210" s="81"/>
      <c r="E210" s="81"/>
      <c r="F210" s="81"/>
      <c r="G210" s="270"/>
      <c r="H210" s="81"/>
      <c r="I210" s="81"/>
      <c r="J210" s="81"/>
      <c r="K210" s="81"/>
      <c r="L210" s="81"/>
      <c r="M210" s="81"/>
      <c r="N210" s="81"/>
      <c r="O210" s="158">
        <f t="shared" si="46"/>
        <v>70040</v>
      </c>
    </row>
    <row r="211" spans="1:15" ht="15" customHeight="1">
      <c r="A211" s="157" t="s">
        <v>111</v>
      </c>
      <c r="B211" s="120" t="s">
        <v>112</v>
      </c>
      <c r="C211" s="123">
        <f>SUM(C212:C217)</f>
        <v>2533947</v>
      </c>
      <c r="D211" s="123">
        <f aca="true" t="shared" si="47" ref="D211:N211">SUM(D212:D217)</f>
        <v>0</v>
      </c>
      <c r="E211" s="123">
        <f t="shared" si="47"/>
        <v>0</v>
      </c>
      <c r="F211" s="123">
        <f t="shared" si="47"/>
        <v>0</v>
      </c>
      <c r="G211" s="123">
        <f t="shared" si="47"/>
        <v>0</v>
      </c>
      <c r="H211" s="123">
        <f t="shared" si="47"/>
        <v>0</v>
      </c>
      <c r="I211" s="123">
        <f t="shared" si="47"/>
        <v>0</v>
      </c>
      <c r="J211" s="123">
        <f t="shared" si="47"/>
        <v>202507</v>
      </c>
      <c r="K211" s="123">
        <f t="shared" si="47"/>
        <v>0</v>
      </c>
      <c r="L211" s="123">
        <f t="shared" si="47"/>
        <v>0</v>
      </c>
      <c r="M211" s="123">
        <f t="shared" si="47"/>
        <v>0</v>
      </c>
      <c r="N211" s="123">
        <f t="shared" si="47"/>
        <v>0</v>
      </c>
      <c r="O211" s="158">
        <f t="shared" si="46"/>
        <v>2736454</v>
      </c>
    </row>
    <row r="212" spans="1:15" ht="15">
      <c r="A212" s="80" t="s">
        <v>247</v>
      </c>
      <c r="B212" s="51" t="s">
        <v>8</v>
      </c>
      <c r="C212" s="81">
        <f>696096+113668+15500+4301+98</f>
        <v>829663</v>
      </c>
      <c r="D212" s="43"/>
      <c r="E212" s="43"/>
      <c r="F212" s="81"/>
      <c r="G212" s="43"/>
      <c r="H212" s="43"/>
      <c r="I212" s="43"/>
      <c r="J212" s="43"/>
      <c r="K212" s="43"/>
      <c r="L212" s="43"/>
      <c r="M212" s="43"/>
      <c r="N212" s="81"/>
      <c r="O212" s="158">
        <f t="shared" si="46"/>
        <v>829663</v>
      </c>
    </row>
    <row r="213" spans="1:15" ht="15">
      <c r="A213" s="80" t="s">
        <v>248</v>
      </c>
      <c r="B213" s="51" t="s">
        <v>126</v>
      </c>
      <c r="C213" s="81">
        <f>320669+2499</f>
        <v>323168</v>
      </c>
      <c r="D213" s="43"/>
      <c r="E213" s="43"/>
      <c r="F213" s="81"/>
      <c r="G213" s="43"/>
      <c r="H213" s="43"/>
      <c r="I213" s="43"/>
      <c r="J213" s="43"/>
      <c r="K213" s="43"/>
      <c r="L213" s="43"/>
      <c r="M213" s="43"/>
      <c r="N213" s="81"/>
      <c r="O213" s="158">
        <f t="shared" si="46"/>
        <v>323168</v>
      </c>
    </row>
    <row r="214" spans="1:15" ht="15">
      <c r="A214" s="80" t="s">
        <v>249</v>
      </c>
      <c r="B214" s="51" t="s">
        <v>113</v>
      </c>
      <c r="C214" s="81">
        <f>861360-171699-134000-794</f>
        <v>554867</v>
      </c>
      <c r="D214" s="43"/>
      <c r="E214" s="43"/>
      <c r="F214" s="81"/>
      <c r="G214" s="43"/>
      <c r="H214" s="43"/>
      <c r="I214" s="43"/>
      <c r="J214" s="43"/>
      <c r="K214" s="43"/>
      <c r="L214" s="43"/>
      <c r="M214" s="43"/>
      <c r="N214" s="81"/>
      <c r="O214" s="158">
        <f t="shared" si="46"/>
        <v>554867</v>
      </c>
    </row>
    <row r="215" spans="1:15" ht="15">
      <c r="A215" s="80" t="s">
        <v>250</v>
      </c>
      <c r="B215" s="51" t="s">
        <v>114</v>
      </c>
      <c r="C215" s="81">
        <f>498688-146304-39900</f>
        <v>312484</v>
      </c>
      <c r="D215" s="43"/>
      <c r="E215" s="43"/>
      <c r="F215" s="81"/>
      <c r="G215" s="43"/>
      <c r="H215" s="43"/>
      <c r="I215" s="43"/>
      <c r="J215" s="43"/>
      <c r="K215" s="43"/>
      <c r="L215" s="43"/>
      <c r="M215" s="43"/>
      <c r="N215" s="81"/>
      <c r="O215" s="158">
        <f t="shared" si="46"/>
        <v>312484</v>
      </c>
    </row>
    <row r="216" spans="1:15" ht="15">
      <c r="A216" s="80" t="s">
        <v>251</v>
      </c>
      <c r="B216" s="51" t="s">
        <v>159</v>
      </c>
      <c r="C216" s="43"/>
      <c r="D216" s="43"/>
      <c r="E216" s="43"/>
      <c r="F216" s="81"/>
      <c r="G216" s="43"/>
      <c r="H216" s="43"/>
      <c r="I216" s="43"/>
      <c r="J216" s="17">
        <v>202507</v>
      </c>
      <c r="K216" s="43"/>
      <c r="L216" s="43"/>
      <c r="M216" s="43"/>
      <c r="N216" s="81"/>
      <c r="O216" s="158">
        <f t="shared" si="46"/>
        <v>202507</v>
      </c>
    </row>
    <row r="217" spans="1:15" ht="15">
      <c r="A217" s="80" t="s">
        <v>512</v>
      </c>
      <c r="B217" s="51" t="s">
        <v>513</v>
      </c>
      <c r="C217" s="43">
        <f>323557+6136+182658+794+620</f>
        <v>513765</v>
      </c>
      <c r="D217" s="43"/>
      <c r="E217" s="43"/>
      <c r="F217" s="81"/>
      <c r="G217" s="43"/>
      <c r="H217" s="43"/>
      <c r="I217" s="43"/>
      <c r="J217" s="17"/>
      <c r="K217" s="43"/>
      <c r="L217" s="43"/>
      <c r="M217" s="43"/>
      <c r="N217" s="81"/>
      <c r="O217" s="158">
        <f t="shared" si="46"/>
        <v>513765</v>
      </c>
    </row>
    <row r="218" spans="1:15" ht="15">
      <c r="A218" s="176" t="s">
        <v>160</v>
      </c>
      <c r="B218" s="120" t="s">
        <v>161</v>
      </c>
      <c r="C218" s="61">
        <f>SUM(C219:C221)</f>
        <v>395256</v>
      </c>
      <c r="D218" s="43">
        <f aca="true" t="shared" si="48" ref="D218:M218">SUM(D219:D221)</f>
        <v>0</v>
      </c>
      <c r="E218" s="43">
        <f t="shared" si="48"/>
        <v>0</v>
      </c>
      <c r="F218" s="43">
        <f t="shared" si="48"/>
        <v>0</v>
      </c>
      <c r="G218" s="43">
        <f t="shared" si="48"/>
        <v>101487</v>
      </c>
      <c r="H218" s="43">
        <f t="shared" si="48"/>
        <v>0</v>
      </c>
      <c r="I218" s="43">
        <f t="shared" si="48"/>
        <v>0</v>
      </c>
      <c r="J218" s="43">
        <f t="shared" si="48"/>
        <v>100977</v>
      </c>
      <c r="K218" s="43">
        <f t="shared" si="48"/>
        <v>0</v>
      </c>
      <c r="L218" s="43">
        <f t="shared" si="48"/>
        <v>0</v>
      </c>
      <c r="M218" s="43">
        <f t="shared" si="48"/>
        <v>0</v>
      </c>
      <c r="N218" s="43">
        <f>SUM(N219:N221)</f>
        <v>0</v>
      </c>
      <c r="O218" s="158">
        <f t="shared" si="46"/>
        <v>597720</v>
      </c>
    </row>
    <row r="219" spans="1:15" ht="15">
      <c r="A219" s="80" t="s">
        <v>351</v>
      </c>
      <c r="B219" s="51" t="s">
        <v>347</v>
      </c>
      <c r="C219" s="81">
        <f>50000</f>
        <v>50000</v>
      </c>
      <c r="D219" s="81"/>
      <c r="E219" s="81"/>
      <c r="F219" s="81"/>
      <c r="G219" s="43">
        <f>93538+2540+5409</f>
        <v>101487</v>
      </c>
      <c r="H219" s="43"/>
      <c r="I219" s="43"/>
      <c r="J219" s="81">
        <v>95080</v>
      </c>
      <c r="K219" s="81"/>
      <c r="L219" s="81"/>
      <c r="M219" s="81"/>
      <c r="N219" s="81"/>
      <c r="O219" s="158">
        <f t="shared" si="46"/>
        <v>246567</v>
      </c>
    </row>
    <row r="220" spans="1:15" ht="15">
      <c r="A220" s="186" t="s">
        <v>508</v>
      </c>
      <c r="B220" s="51" t="s">
        <v>509</v>
      </c>
      <c r="C220" s="81">
        <v>240256</v>
      </c>
      <c r="D220" s="81"/>
      <c r="E220" s="81"/>
      <c r="F220" s="81"/>
      <c r="G220" s="43"/>
      <c r="H220" s="43"/>
      <c r="I220" s="43"/>
      <c r="J220" s="81"/>
      <c r="K220" s="81"/>
      <c r="L220" s="81"/>
      <c r="M220" s="81"/>
      <c r="N220" s="81"/>
      <c r="O220" s="158">
        <f t="shared" si="46"/>
        <v>240256</v>
      </c>
    </row>
    <row r="221" spans="1:15" ht="15">
      <c r="A221" s="80" t="s">
        <v>352</v>
      </c>
      <c r="B221" s="51" t="s">
        <v>348</v>
      </c>
      <c r="C221" s="81">
        <v>105000</v>
      </c>
      <c r="D221" s="81"/>
      <c r="E221" s="81"/>
      <c r="F221" s="81"/>
      <c r="G221" s="43"/>
      <c r="H221" s="43"/>
      <c r="I221" s="43"/>
      <c r="J221" s="81">
        <v>5897</v>
      </c>
      <c r="K221" s="81"/>
      <c r="L221" s="81"/>
      <c r="M221" s="81"/>
      <c r="N221" s="81"/>
      <c r="O221" s="158">
        <f t="shared" si="46"/>
        <v>110897</v>
      </c>
    </row>
    <row r="222" spans="1:15" ht="21.75" customHeight="1">
      <c r="A222" s="157" t="s">
        <v>496</v>
      </c>
      <c r="B222" s="120" t="s">
        <v>497</v>
      </c>
      <c r="C222" s="123">
        <f>293138-17770-1898</f>
        <v>273470</v>
      </c>
      <c r="D222" s="123"/>
      <c r="E222" s="123"/>
      <c r="F222" s="123"/>
      <c r="G222" s="61"/>
      <c r="H222" s="61"/>
      <c r="I222" s="61"/>
      <c r="J222" s="123"/>
      <c r="K222" s="123"/>
      <c r="L222" s="123"/>
      <c r="M222" s="123"/>
      <c r="N222" s="123"/>
      <c r="O222" s="158">
        <f t="shared" si="46"/>
        <v>273470</v>
      </c>
    </row>
    <row r="223" spans="1:15" ht="30.75" customHeight="1" thickBot="1">
      <c r="A223" s="207" t="s">
        <v>115</v>
      </c>
      <c r="B223" s="208" t="s">
        <v>252</v>
      </c>
      <c r="C223" s="209">
        <f aca="true" t="shared" si="49" ref="C223:N223">SUM(C224:C243)</f>
        <v>1834596</v>
      </c>
      <c r="D223" s="209">
        <f t="shared" si="49"/>
        <v>0</v>
      </c>
      <c r="E223" s="209">
        <f t="shared" si="49"/>
        <v>0</v>
      </c>
      <c r="F223" s="209">
        <f t="shared" si="49"/>
        <v>0</v>
      </c>
      <c r="G223" s="209">
        <f t="shared" si="49"/>
        <v>28147</v>
      </c>
      <c r="H223" s="209">
        <f t="shared" si="49"/>
        <v>0</v>
      </c>
      <c r="I223" s="209">
        <f t="shared" si="49"/>
        <v>24475</v>
      </c>
      <c r="J223" s="209">
        <f t="shared" si="49"/>
        <v>20693</v>
      </c>
      <c r="K223" s="209">
        <f t="shared" si="49"/>
        <v>35559</v>
      </c>
      <c r="L223" s="209">
        <f t="shared" si="49"/>
        <v>42560</v>
      </c>
      <c r="M223" s="209">
        <f t="shared" si="49"/>
        <v>15447</v>
      </c>
      <c r="N223" s="209">
        <f t="shared" si="49"/>
        <v>17786</v>
      </c>
      <c r="O223" s="210">
        <f>SUM(C223:N223)</f>
        <v>2019263</v>
      </c>
    </row>
    <row r="224" spans="1:15" ht="30.75" customHeight="1">
      <c r="A224" s="180" t="s">
        <v>349</v>
      </c>
      <c r="B224" s="63" t="s">
        <v>350</v>
      </c>
      <c r="C224" s="109">
        <v>91066</v>
      </c>
      <c r="D224" s="179"/>
      <c r="E224" s="179"/>
      <c r="F224" s="179"/>
      <c r="G224" s="205"/>
      <c r="H224" s="205"/>
      <c r="I224" s="205"/>
      <c r="J224" s="179"/>
      <c r="K224" s="179"/>
      <c r="L224" s="179"/>
      <c r="M224" s="179"/>
      <c r="N224" s="211"/>
      <c r="O224" s="158">
        <f t="shared" si="46"/>
        <v>91066</v>
      </c>
    </row>
    <row r="225" spans="1:15" ht="30.75" customHeight="1">
      <c r="A225" s="212" t="s">
        <v>374</v>
      </c>
      <c r="B225" s="213" t="s">
        <v>375</v>
      </c>
      <c r="C225" s="43">
        <f>199681-2611</f>
        <v>197070</v>
      </c>
      <c r="D225" s="61"/>
      <c r="E225" s="61"/>
      <c r="F225" s="61"/>
      <c r="G225" s="61"/>
      <c r="H225" s="61"/>
      <c r="I225" s="61"/>
      <c r="J225" s="61">
        <v>2645</v>
      </c>
      <c r="K225" s="61"/>
      <c r="L225" s="61"/>
      <c r="M225" s="61"/>
      <c r="N225" s="172"/>
      <c r="O225" s="158">
        <f t="shared" si="46"/>
        <v>199715</v>
      </c>
    </row>
    <row r="226" spans="1:15" ht="15.75">
      <c r="A226" s="212" t="s">
        <v>414</v>
      </c>
      <c r="B226" s="214" t="s">
        <v>415</v>
      </c>
      <c r="C226" s="43">
        <v>55622</v>
      </c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172"/>
      <c r="O226" s="158">
        <f t="shared" si="46"/>
        <v>55622</v>
      </c>
    </row>
    <row r="227" spans="1:15" ht="30.75" customHeight="1">
      <c r="A227" s="212" t="s">
        <v>416</v>
      </c>
      <c r="B227" s="214" t="s">
        <v>417</v>
      </c>
      <c r="C227" s="43">
        <v>13041</v>
      </c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172"/>
      <c r="O227" s="158">
        <f t="shared" si="46"/>
        <v>13041</v>
      </c>
    </row>
    <row r="228" spans="1:15" ht="30.75" customHeight="1">
      <c r="A228" s="212" t="s">
        <v>418</v>
      </c>
      <c r="B228" s="215" t="s">
        <v>419</v>
      </c>
      <c r="C228" s="43">
        <v>11463</v>
      </c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172"/>
      <c r="O228" s="158">
        <f t="shared" si="46"/>
        <v>11463</v>
      </c>
    </row>
    <row r="229" spans="1:15" ht="30.75" customHeight="1">
      <c r="A229" s="212" t="s">
        <v>420</v>
      </c>
      <c r="B229" s="214" t="s">
        <v>421</v>
      </c>
      <c r="C229" s="109">
        <v>10462</v>
      </c>
      <c r="D229" s="179"/>
      <c r="E229" s="179"/>
      <c r="F229" s="179"/>
      <c r="G229" s="205"/>
      <c r="H229" s="205"/>
      <c r="I229" s="205"/>
      <c r="J229" s="179"/>
      <c r="K229" s="179"/>
      <c r="L229" s="179"/>
      <c r="M229" s="179"/>
      <c r="N229" s="179"/>
      <c r="O229" s="158">
        <f t="shared" si="46"/>
        <v>10462</v>
      </c>
    </row>
    <row r="230" spans="1:15" ht="15">
      <c r="A230" s="180" t="s">
        <v>253</v>
      </c>
      <c r="B230" s="28" t="s">
        <v>498</v>
      </c>
      <c r="C230" s="81"/>
      <c r="D230" s="43"/>
      <c r="E230" s="43"/>
      <c r="F230" s="81"/>
      <c r="G230" s="43">
        <v>28147</v>
      </c>
      <c r="H230" s="43"/>
      <c r="I230" s="43">
        <v>21267</v>
      </c>
      <c r="J230" s="43"/>
      <c r="K230" s="43">
        <v>35559</v>
      </c>
      <c r="L230" s="43">
        <v>42560</v>
      </c>
      <c r="M230" s="43"/>
      <c r="N230" s="81"/>
      <c r="O230" s="158">
        <f t="shared" si="46"/>
        <v>127533</v>
      </c>
    </row>
    <row r="231" spans="1:15" ht="15">
      <c r="A231" s="180" t="s">
        <v>254</v>
      </c>
      <c r="B231" s="49" t="s">
        <v>318</v>
      </c>
      <c r="C231" s="109"/>
      <c r="D231" s="43"/>
      <c r="E231" s="43"/>
      <c r="F231" s="81"/>
      <c r="G231" s="43"/>
      <c r="H231" s="43"/>
      <c r="I231" s="43"/>
      <c r="J231" s="43">
        <v>13550</v>
      </c>
      <c r="K231" s="43"/>
      <c r="L231" s="43"/>
      <c r="M231" s="43">
        <v>15447</v>
      </c>
      <c r="N231" s="87">
        <v>17786</v>
      </c>
      <c r="O231" s="158">
        <f t="shared" si="46"/>
        <v>46783</v>
      </c>
    </row>
    <row r="232" spans="1:15" ht="47.25">
      <c r="A232" s="212" t="s">
        <v>422</v>
      </c>
      <c r="B232" s="216" t="s">
        <v>423</v>
      </c>
      <c r="C232" s="81">
        <v>13738</v>
      </c>
      <c r="D232" s="43"/>
      <c r="E232" s="43"/>
      <c r="F232" s="81"/>
      <c r="G232" s="43"/>
      <c r="H232" s="43"/>
      <c r="I232" s="43"/>
      <c r="J232" s="43"/>
      <c r="K232" s="43"/>
      <c r="L232" s="43"/>
      <c r="M232" s="43"/>
      <c r="N232" s="81"/>
      <c r="O232" s="158">
        <f t="shared" si="46"/>
        <v>13738</v>
      </c>
    </row>
    <row r="233" spans="1:15" ht="47.25">
      <c r="A233" s="212" t="s">
        <v>424</v>
      </c>
      <c r="B233" s="214" t="s">
        <v>425</v>
      </c>
      <c r="C233" s="81">
        <v>8234</v>
      </c>
      <c r="D233" s="43"/>
      <c r="E233" s="43"/>
      <c r="F233" s="81"/>
      <c r="G233" s="43"/>
      <c r="H233" s="43"/>
      <c r="I233" s="43"/>
      <c r="J233" s="43"/>
      <c r="K233" s="43"/>
      <c r="L233" s="43"/>
      <c r="M233" s="43"/>
      <c r="N233" s="81"/>
      <c r="O233" s="158">
        <f t="shared" si="46"/>
        <v>8234</v>
      </c>
    </row>
    <row r="234" spans="1:15" ht="60">
      <c r="A234" s="212" t="s">
        <v>441</v>
      </c>
      <c r="B234" s="185" t="s">
        <v>440</v>
      </c>
      <c r="C234" s="81">
        <v>6201</v>
      </c>
      <c r="D234" s="43"/>
      <c r="E234" s="43"/>
      <c r="F234" s="81"/>
      <c r="G234" s="43"/>
      <c r="H234" s="43"/>
      <c r="I234" s="43"/>
      <c r="J234" s="43"/>
      <c r="K234" s="43"/>
      <c r="L234" s="43"/>
      <c r="M234" s="43"/>
      <c r="N234" s="81"/>
      <c r="O234" s="158">
        <f t="shared" si="46"/>
        <v>6201</v>
      </c>
    </row>
    <row r="235" spans="1:15" ht="30">
      <c r="A235" s="80" t="s">
        <v>294</v>
      </c>
      <c r="B235" s="185" t="s">
        <v>499</v>
      </c>
      <c r="C235" s="81">
        <f>2449147-1400000</f>
        <v>1049147</v>
      </c>
      <c r="D235" s="43"/>
      <c r="E235" s="43"/>
      <c r="F235" s="81"/>
      <c r="G235" s="43"/>
      <c r="H235" s="43"/>
      <c r="I235" s="43"/>
      <c r="J235" s="43"/>
      <c r="K235" s="43"/>
      <c r="L235" s="43"/>
      <c r="M235" s="43"/>
      <c r="N235" s="81"/>
      <c r="O235" s="158">
        <f t="shared" si="46"/>
        <v>1049147</v>
      </c>
    </row>
    <row r="236" spans="1:15" ht="28.5" customHeight="1">
      <c r="A236" s="180" t="s">
        <v>311</v>
      </c>
      <c r="B236" s="217" t="s">
        <v>426</v>
      </c>
      <c r="C236" s="81">
        <f>3049+200</f>
        <v>3249</v>
      </c>
      <c r="D236" s="43"/>
      <c r="E236" s="43"/>
      <c r="F236" s="81"/>
      <c r="G236" s="43"/>
      <c r="H236" s="43"/>
      <c r="I236" s="43"/>
      <c r="J236" s="43"/>
      <c r="K236" s="43"/>
      <c r="L236" s="43"/>
      <c r="M236" s="43"/>
      <c r="N236" s="81"/>
      <c r="O236" s="158">
        <f t="shared" si="46"/>
        <v>3249</v>
      </c>
    </row>
    <row r="237" spans="1:15" ht="30">
      <c r="A237" s="45" t="s">
        <v>356</v>
      </c>
      <c r="B237" s="218" t="s">
        <v>355</v>
      </c>
      <c r="C237" s="81">
        <f>175955-3208</f>
        <v>172747</v>
      </c>
      <c r="D237" s="81"/>
      <c r="E237" s="81"/>
      <c r="F237" s="81"/>
      <c r="G237" s="43"/>
      <c r="H237" s="94"/>
      <c r="I237" s="94">
        <v>3208</v>
      </c>
      <c r="J237" s="94"/>
      <c r="K237" s="94"/>
      <c r="L237" s="94"/>
      <c r="M237" s="94"/>
      <c r="N237" s="98"/>
      <c r="O237" s="158">
        <f t="shared" si="46"/>
        <v>175955</v>
      </c>
    </row>
    <row r="238" spans="1:15" ht="30">
      <c r="A238" s="219" t="s">
        <v>358</v>
      </c>
      <c r="B238" s="220" t="s">
        <v>370</v>
      </c>
      <c r="C238" s="43">
        <v>2776</v>
      </c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81"/>
      <c r="O238" s="158">
        <f t="shared" si="46"/>
        <v>2776</v>
      </c>
    </row>
    <row r="239" spans="1:15" ht="45" customHeight="1">
      <c r="A239" s="219" t="s">
        <v>376</v>
      </c>
      <c r="B239" s="213" t="s">
        <v>377</v>
      </c>
      <c r="C239" s="43">
        <v>8070</v>
      </c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81"/>
      <c r="O239" s="158">
        <f t="shared" si="46"/>
        <v>8070</v>
      </c>
    </row>
    <row r="240" spans="1:15" ht="47.25" customHeight="1">
      <c r="A240" s="219" t="s">
        <v>427</v>
      </c>
      <c r="B240" s="214" t="s">
        <v>428</v>
      </c>
      <c r="C240" s="81">
        <v>10250</v>
      </c>
      <c r="D240" s="81"/>
      <c r="E240" s="81"/>
      <c r="F240" s="81"/>
      <c r="G240" s="43"/>
      <c r="H240" s="81"/>
      <c r="I240" s="81"/>
      <c r="J240" s="81"/>
      <c r="K240" s="81"/>
      <c r="L240" s="81"/>
      <c r="M240" s="81"/>
      <c r="N240" s="124"/>
      <c r="O240" s="158">
        <f t="shared" si="46"/>
        <v>10250</v>
      </c>
    </row>
    <row r="241" spans="1:15" ht="47.25" customHeight="1">
      <c r="A241" s="268" t="s">
        <v>520</v>
      </c>
      <c r="B241" s="214" t="s">
        <v>519</v>
      </c>
      <c r="C241" s="43"/>
      <c r="D241" s="43"/>
      <c r="E241" s="43"/>
      <c r="F241" s="43"/>
      <c r="G241" s="43"/>
      <c r="H241" s="43"/>
      <c r="I241" s="43"/>
      <c r="J241" s="43">
        <v>4498</v>
      </c>
      <c r="K241" s="43"/>
      <c r="L241" s="43"/>
      <c r="M241" s="43"/>
      <c r="N241" s="124"/>
      <c r="O241" s="158">
        <f t="shared" si="46"/>
        <v>4498</v>
      </c>
    </row>
    <row r="242" spans="1:15" ht="47.25" customHeight="1">
      <c r="A242" s="268" t="s">
        <v>547</v>
      </c>
      <c r="B242" s="272" t="s">
        <v>546</v>
      </c>
      <c r="C242" s="81">
        <v>1000</v>
      </c>
      <c r="D242" s="81"/>
      <c r="E242" s="81"/>
      <c r="F242" s="81"/>
      <c r="G242" s="43"/>
      <c r="H242" s="81"/>
      <c r="I242" s="81"/>
      <c r="J242" s="81"/>
      <c r="K242" s="81"/>
      <c r="L242" s="81"/>
      <c r="M242" s="81"/>
      <c r="N242" s="124"/>
      <c r="O242" s="158">
        <f t="shared" si="46"/>
        <v>1000</v>
      </c>
    </row>
    <row r="243" spans="1:15" ht="30.75" thickBot="1">
      <c r="A243" s="268" t="s">
        <v>550</v>
      </c>
      <c r="B243" s="54" t="s">
        <v>551</v>
      </c>
      <c r="C243" s="109">
        <f>56248+124212</f>
        <v>180460</v>
      </c>
      <c r="D243" s="109"/>
      <c r="E243" s="109"/>
      <c r="F243" s="109"/>
      <c r="G243" s="108"/>
      <c r="H243" s="109"/>
      <c r="I243" s="109"/>
      <c r="J243" s="109"/>
      <c r="K243" s="109"/>
      <c r="L243" s="109"/>
      <c r="M243" s="109"/>
      <c r="N243" s="109"/>
      <c r="O243" s="158">
        <f t="shared" si="46"/>
        <v>180460</v>
      </c>
    </row>
    <row r="244" spans="1:15" ht="15.75" thickBot="1">
      <c r="A244" s="110" t="s">
        <v>7</v>
      </c>
      <c r="B244" s="72" t="s">
        <v>116</v>
      </c>
      <c r="C244" s="74">
        <f>SUM(C245+C246+C247+C248)</f>
        <v>3018954</v>
      </c>
      <c r="D244" s="74">
        <f aca="true" t="shared" si="50" ref="D244:M244">SUM(D245+D246+D247+D248)</f>
        <v>58006</v>
      </c>
      <c r="E244" s="74">
        <f t="shared" si="50"/>
        <v>0</v>
      </c>
      <c r="F244" s="74">
        <f t="shared" si="50"/>
        <v>0</v>
      </c>
      <c r="G244" s="73">
        <f t="shared" si="50"/>
        <v>59214</v>
      </c>
      <c r="H244" s="74">
        <f t="shared" si="50"/>
        <v>20101</v>
      </c>
      <c r="I244" s="74">
        <f t="shared" si="50"/>
        <v>27566</v>
      </c>
      <c r="J244" s="74">
        <f t="shared" si="50"/>
        <v>675374</v>
      </c>
      <c r="K244" s="74">
        <f t="shared" si="50"/>
        <v>32129</v>
      </c>
      <c r="L244" s="74">
        <f t="shared" si="50"/>
        <v>14966</v>
      </c>
      <c r="M244" s="74">
        <f t="shared" si="50"/>
        <v>18250</v>
      </c>
      <c r="N244" s="74">
        <f>SUM(N245+N246+N247+N248)</f>
        <v>32587</v>
      </c>
      <c r="O244" s="75">
        <f t="shared" si="46"/>
        <v>3957147</v>
      </c>
    </row>
    <row r="245" spans="1:15" ht="16.5" customHeight="1">
      <c r="A245" s="157" t="s">
        <v>500</v>
      </c>
      <c r="B245" s="221" t="s">
        <v>182</v>
      </c>
      <c r="C245" s="222">
        <f>171677-198-204</f>
        <v>171275</v>
      </c>
      <c r="D245" s="62"/>
      <c r="E245" s="62"/>
      <c r="F245" s="222"/>
      <c r="G245" s="62">
        <v>850</v>
      </c>
      <c r="H245" s="62"/>
      <c r="I245" s="62"/>
      <c r="J245" s="62">
        <v>1122</v>
      </c>
      <c r="K245" s="62"/>
      <c r="L245" s="62"/>
      <c r="M245" s="62"/>
      <c r="N245" s="211"/>
      <c r="O245" s="155">
        <f t="shared" si="46"/>
        <v>173247</v>
      </c>
    </row>
    <row r="246" spans="1:15" ht="15">
      <c r="A246" s="150" t="s">
        <v>501</v>
      </c>
      <c r="B246" s="151" t="s">
        <v>162</v>
      </c>
      <c r="C246" s="195">
        <f>5956+3200</f>
        <v>9156</v>
      </c>
      <c r="D246" s="152"/>
      <c r="E246" s="152"/>
      <c r="F246" s="152"/>
      <c r="G246" s="118"/>
      <c r="H246" s="118"/>
      <c r="I246" s="118"/>
      <c r="J246" s="118"/>
      <c r="K246" s="223">
        <v>2400</v>
      </c>
      <c r="L246" s="223">
        <v>2400</v>
      </c>
      <c r="M246" s="152">
        <v>2400</v>
      </c>
      <c r="N246" s="152">
        <v>200</v>
      </c>
      <c r="O246" s="99">
        <f t="shared" si="46"/>
        <v>16556</v>
      </c>
    </row>
    <row r="247" spans="1:15" ht="15">
      <c r="A247" s="150" t="s">
        <v>117</v>
      </c>
      <c r="B247" s="151" t="s">
        <v>118</v>
      </c>
      <c r="C247" s="152"/>
      <c r="D247" s="78"/>
      <c r="E247" s="78"/>
      <c r="F247" s="52"/>
      <c r="G247" s="78"/>
      <c r="H247" s="78"/>
      <c r="I247" s="78"/>
      <c r="J247" s="78"/>
      <c r="K247" s="78"/>
      <c r="L247" s="78"/>
      <c r="M247" s="78"/>
      <c r="N247" s="52"/>
      <c r="O247" s="158">
        <f t="shared" si="46"/>
        <v>0</v>
      </c>
    </row>
    <row r="248" spans="1:15" ht="29.25">
      <c r="A248" s="157" t="s">
        <v>119</v>
      </c>
      <c r="B248" s="120" t="s">
        <v>120</v>
      </c>
      <c r="C248" s="123">
        <f aca="true" t="shared" si="51" ref="C248:N248">SUM(C249:C259)</f>
        <v>2838523</v>
      </c>
      <c r="D248" s="123">
        <f t="shared" si="51"/>
        <v>58006</v>
      </c>
      <c r="E248" s="123">
        <f t="shared" si="51"/>
        <v>0</v>
      </c>
      <c r="F248" s="123">
        <f t="shared" si="51"/>
        <v>0</v>
      </c>
      <c r="G248" s="61">
        <f t="shared" si="51"/>
        <v>58364</v>
      </c>
      <c r="H248" s="123">
        <f t="shared" si="51"/>
        <v>20101</v>
      </c>
      <c r="I248" s="123">
        <f t="shared" si="51"/>
        <v>27566</v>
      </c>
      <c r="J248" s="123">
        <f t="shared" si="51"/>
        <v>674252</v>
      </c>
      <c r="K248" s="123">
        <f t="shared" si="51"/>
        <v>29729</v>
      </c>
      <c r="L248" s="123">
        <f t="shared" si="51"/>
        <v>12566</v>
      </c>
      <c r="M248" s="123">
        <f t="shared" si="51"/>
        <v>15850</v>
      </c>
      <c r="N248" s="123">
        <f t="shared" si="51"/>
        <v>32387</v>
      </c>
      <c r="O248" s="158">
        <f>SUM(C248:N248)</f>
        <v>3767344</v>
      </c>
    </row>
    <row r="249" spans="1:15" ht="15">
      <c r="A249" s="80" t="s">
        <v>255</v>
      </c>
      <c r="B249" s="51" t="s">
        <v>121</v>
      </c>
      <c r="C249" s="81">
        <f>969100+52295</f>
        <v>1021395</v>
      </c>
      <c r="D249" s="43">
        <v>58006</v>
      </c>
      <c r="E249" s="43"/>
      <c r="F249" s="81"/>
      <c r="G249" s="43">
        <v>500</v>
      </c>
      <c r="H249" s="43"/>
      <c r="I249" s="43">
        <v>400</v>
      </c>
      <c r="J249" s="43">
        <v>2183</v>
      </c>
      <c r="K249" s="43">
        <v>300</v>
      </c>
      <c r="L249" s="43">
        <v>670</v>
      </c>
      <c r="M249" s="43">
        <v>3350</v>
      </c>
      <c r="N249" s="87">
        <v>687</v>
      </c>
      <c r="O249" s="158">
        <f aca="true" t="shared" si="52" ref="O249:O266">SUM(C249:N249)</f>
        <v>1087491</v>
      </c>
    </row>
    <row r="250" spans="1:15" ht="15">
      <c r="A250" s="80" t="s">
        <v>256</v>
      </c>
      <c r="B250" s="51" t="s">
        <v>17</v>
      </c>
      <c r="C250" s="81">
        <f>1026155+51993</f>
        <v>1078148</v>
      </c>
      <c r="D250" s="43"/>
      <c r="E250" s="43"/>
      <c r="F250" s="81"/>
      <c r="G250" s="43">
        <v>57864</v>
      </c>
      <c r="H250" s="43">
        <v>20101</v>
      </c>
      <c r="I250" s="43">
        <v>26616</v>
      </c>
      <c r="J250" s="43">
        <v>50223</v>
      </c>
      <c r="K250" s="43">
        <v>29429</v>
      </c>
      <c r="L250" s="43">
        <v>11896</v>
      </c>
      <c r="M250" s="43">
        <v>12500</v>
      </c>
      <c r="N250" s="87">
        <v>31700</v>
      </c>
      <c r="O250" s="158">
        <f t="shared" si="52"/>
        <v>1318477</v>
      </c>
    </row>
    <row r="251" spans="1:15" ht="15">
      <c r="A251" s="80" t="s">
        <v>319</v>
      </c>
      <c r="B251" s="51" t="s">
        <v>320</v>
      </c>
      <c r="C251" s="81">
        <v>251348</v>
      </c>
      <c r="D251" s="43"/>
      <c r="E251" s="43"/>
      <c r="F251" s="81"/>
      <c r="G251" s="43"/>
      <c r="H251" s="43"/>
      <c r="I251" s="43"/>
      <c r="J251" s="43"/>
      <c r="K251" s="43"/>
      <c r="L251" s="43"/>
      <c r="M251" s="43"/>
      <c r="N251" s="81"/>
      <c r="O251" s="158">
        <f t="shared" si="52"/>
        <v>251348</v>
      </c>
    </row>
    <row r="252" spans="1:15" ht="15">
      <c r="A252" s="80" t="s">
        <v>257</v>
      </c>
      <c r="B252" s="51" t="s">
        <v>164</v>
      </c>
      <c r="C252" s="81"/>
      <c r="D252" s="43"/>
      <c r="E252" s="43"/>
      <c r="F252" s="81"/>
      <c r="G252" s="43"/>
      <c r="H252" s="43"/>
      <c r="I252" s="43"/>
      <c r="J252" s="43">
        <v>618113</v>
      </c>
      <c r="K252" s="43"/>
      <c r="L252" s="43"/>
      <c r="M252" s="43"/>
      <c r="N252" s="81"/>
      <c r="O252" s="158">
        <f t="shared" si="52"/>
        <v>618113</v>
      </c>
    </row>
    <row r="253" spans="1:15" ht="30">
      <c r="A253" s="80" t="s">
        <v>338</v>
      </c>
      <c r="B253" s="28" t="s">
        <v>339</v>
      </c>
      <c r="C253" s="43">
        <f>15071+25115</f>
        <v>40186</v>
      </c>
      <c r="D253" s="43"/>
      <c r="E253" s="43"/>
      <c r="F253" s="81"/>
      <c r="G253" s="43"/>
      <c r="H253" s="43"/>
      <c r="I253" s="43"/>
      <c r="J253" s="43"/>
      <c r="K253" s="43"/>
      <c r="L253" s="43"/>
      <c r="M253" s="43"/>
      <c r="N253" s="81"/>
      <c r="O253" s="158">
        <f t="shared" si="52"/>
        <v>40186</v>
      </c>
    </row>
    <row r="254" spans="1:15" ht="30">
      <c r="A254" s="34" t="s">
        <v>381</v>
      </c>
      <c r="B254" s="32" t="s">
        <v>382</v>
      </c>
      <c r="C254" s="81">
        <v>555</v>
      </c>
      <c r="D254" s="43"/>
      <c r="E254" s="43"/>
      <c r="F254" s="81"/>
      <c r="G254" s="43"/>
      <c r="H254" s="43"/>
      <c r="I254" s="43"/>
      <c r="J254" s="81"/>
      <c r="K254" s="81"/>
      <c r="L254" s="81"/>
      <c r="M254" s="81"/>
      <c r="N254" s="81"/>
      <c r="O254" s="158">
        <f t="shared" si="52"/>
        <v>555</v>
      </c>
    </row>
    <row r="255" spans="1:15" ht="31.5">
      <c r="A255" s="34" t="s">
        <v>429</v>
      </c>
      <c r="B255" s="42" t="s">
        <v>430</v>
      </c>
      <c r="C255" s="81">
        <f>15000+3150</f>
        <v>18150</v>
      </c>
      <c r="D255" s="43"/>
      <c r="E255" s="43"/>
      <c r="F255" s="81"/>
      <c r="G255" s="43"/>
      <c r="H255" s="43"/>
      <c r="I255" s="43"/>
      <c r="J255" s="81"/>
      <c r="K255" s="81"/>
      <c r="L255" s="81"/>
      <c r="M255" s="81"/>
      <c r="N255" s="81"/>
      <c r="O255" s="158">
        <f t="shared" si="52"/>
        <v>18150</v>
      </c>
    </row>
    <row r="256" spans="1:15" ht="15">
      <c r="A256" s="80" t="s">
        <v>258</v>
      </c>
      <c r="B256" s="51" t="s">
        <v>163</v>
      </c>
      <c r="C256" s="161">
        <f>44579+3300</f>
        <v>47879</v>
      </c>
      <c r="D256" s="43"/>
      <c r="E256" s="43"/>
      <c r="F256" s="81"/>
      <c r="G256" s="43"/>
      <c r="H256" s="43"/>
      <c r="I256" s="43">
        <v>550</v>
      </c>
      <c r="J256" s="81">
        <v>3733</v>
      </c>
      <c r="K256" s="81"/>
      <c r="L256" s="81"/>
      <c r="M256" s="81"/>
      <c r="N256" s="81"/>
      <c r="O256" s="158">
        <f t="shared" si="52"/>
        <v>52162</v>
      </c>
    </row>
    <row r="257" spans="1:15" ht="30">
      <c r="A257" s="34" t="s">
        <v>443</v>
      </c>
      <c r="B257" s="55" t="s">
        <v>442</v>
      </c>
      <c r="C257" s="81">
        <f>113644+11198</f>
        <v>124842</v>
      </c>
      <c r="D257" s="43"/>
      <c r="E257" s="43"/>
      <c r="F257" s="81"/>
      <c r="G257" s="43"/>
      <c r="H257" s="43"/>
      <c r="I257" s="43"/>
      <c r="J257" s="81"/>
      <c r="K257" s="81"/>
      <c r="L257" s="81"/>
      <c r="M257" s="81"/>
      <c r="N257" s="81"/>
      <c r="O257" s="158">
        <f t="shared" si="52"/>
        <v>124842</v>
      </c>
    </row>
    <row r="258" spans="1:15" ht="45">
      <c r="A258" s="80" t="s">
        <v>308</v>
      </c>
      <c r="B258" s="185" t="s">
        <v>502</v>
      </c>
      <c r="C258" s="81">
        <f>40000+10100</f>
        <v>50100</v>
      </c>
      <c r="D258" s="43"/>
      <c r="E258" s="43"/>
      <c r="F258" s="81"/>
      <c r="G258" s="43"/>
      <c r="H258" s="43"/>
      <c r="I258" s="43"/>
      <c r="J258" s="81"/>
      <c r="K258" s="81"/>
      <c r="L258" s="81"/>
      <c r="M258" s="81"/>
      <c r="N258" s="81"/>
      <c r="O258" s="158">
        <f t="shared" si="52"/>
        <v>50100</v>
      </c>
    </row>
    <row r="259" spans="1:15" ht="30.75" thickBot="1">
      <c r="A259" s="36" t="s">
        <v>371</v>
      </c>
      <c r="B259" s="25" t="s">
        <v>372</v>
      </c>
      <c r="C259" s="43">
        <f>268820-62900</f>
        <v>205920</v>
      </c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124"/>
      <c r="O259" s="158">
        <f>SUM(C259:N259)</f>
        <v>205920</v>
      </c>
    </row>
    <row r="260" spans="1:15" ht="15.75" thickBot="1">
      <c r="A260" s="224"/>
      <c r="B260" s="72" t="s">
        <v>19</v>
      </c>
      <c r="C260" s="74">
        <f aca="true" t="shared" si="53" ref="C260:N260">C64+C75+C81+C118+C130+C155+C160+C188+C244</f>
        <v>52444506</v>
      </c>
      <c r="D260" s="74">
        <f t="shared" si="53"/>
        <v>3644847</v>
      </c>
      <c r="E260" s="74">
        <f t="shared" si="53"/>
        <v>1391730</v>
      </c>
      <c r="F260" s="73">
        <f t="shared" si="53"/>
        <v>355239</v>
      </c>
      <c r="G260" s="73">
        <f t="shared" si="53"/>
        <v>2368582</v>
      </c>
      <c r="H260" s="73">
        <f t="shared" si="53"/>
        <v>466814</v>
      </c>
      <c r="I260" s="73">
        <f t="shared" si="53"/>
        <v>1070906</v>
      </c>
      <c r="J260" s="74">
        <f t="shared" si="53"/>
        <v>3083242</v>
      </c>
      <c r="K260" s="74">
        <f t="shared" si="53"/>
        <v>353268</v>
      </c>
      <c r="L260" s="74">
        <f t="shared" si="53"/>
        <v>366253</v>
      </c>
      <c r="M260" s="74">
        <f t="shared" si="53"/>
        <v>364268</v>
      </c>
      <c r="N260" s="74">
        <f t="shared" si="53"/>
        <v>1070972</v>
      </c>
      <c r="O260" s="75">
        <f>SUM(C260:N260)</f>
        <v>66980627</v>
      </c>
    </row>
    <row r="261" spans="1:15" ht="15">
      <c r="A261" s="225" t="s">
        <v>165</v>
      </c>
      <c r="B261" s="107" t="s">
        <v>309</v>
      </c>
      <c r="C261" s="226">
        <f>2580407+1607861+819941+8397+295101</f>
        <v>5311707</v>
      </c>
      <c r="D261" s="226"/>
      <c r="E261" s="226"/>
      <c r="F261" s="227">
        <v>7444</v>
      </c>
      <c r="G261" s="227">
        <v>5080</v>
      </c>
      <c r="H261" s="226">
        <v>8645</v>
      </c>
      <c r="I261" s="226">
        <v>13356</v>
      </c>
      <c r="J261" s="226">
        <v>40004</v>
      </c>
      <c r="K261" s="226"/>
      <c r="L261" s="226">
        <v>5692</v>
      </c>
      <c r="M261" s="226">
        <v>8241</v>
      </c>
      <c r="N261" s="226">
        <v>20061</v>
      </c>
      <c r="O261" s="227">
        <f>SUM(C261:N261)</f>
        <v>5420230</v>
      </c>
    </row>
    <row r="262" spans="1:15" ht="15">
      <c r="A262" s="225" t="s">
        <v>431</v>
      </c>
      <c r="B262" s="107" t="s">
        <v>432</v>
      </c>
      <c r="C262" s="226"/>
      <c r="D262" s="226"/>
      <c r="E262" s="226"/>
      <c r="F262" s="227"/>
      <c r="G262" s="226"/>
      <c r="H262" s="226"/>
      <c r="I262" s="226"/>
      <c r="J262" s="226"/>
      <c r="K262" s="226"/>
      <c r="L262" s="226"/>
      <c r="M262" s="226"/>
      <c r="N262" s="226"/>
      <c r="O262" s="227">
        <f t="shared" si="52"/>
        <v>0</v>
      </c>
    </row>
    <row r="263" spans="1:15" ht="43.5">
      <c r="A263" s="225" t="s">
        <v>433</v>
      </c>
      <c r="B263" s="228" t="s">
        <v>434</v>
      </c>
      <c r="C263" s="226"/>
      <c r="D263" s="226"/>
      <c r="E263" s="226"/>
      <c r="F263" s="227"/>
      <c r="G263" s="226"/>
      <c r="H263" s="226"/>
      <c r="I263" s="226"/>
      <c r="J263" s="226"/>
      <c r="K263" s="226"/>
      <c r="L263" s="226"/>
      <c r="M263" s="226"/>
      <c r="N263" s="226"/>
      <c r="O263" s="227"/>
    </row>
    <row r="264" spans="1:15" ht="15">
      <c r="A264" s="57"/>
      <c r="B264" s="57"/>
      <c r="C264" s="57"/>
      <c r="D264" s="57"/>
      <c r="E264" s="57"/>
      <c r="F264" s="229"/>
      <c r="G264" s="57"/>
      <c r="H264" s="57"/>
      <c r="I264" s="57"/>
      <c r="J264" s="57"/>
      <c r="K264" s="57"/>
      <c r="L264" s="57"/>
      <c r="M264" s="57"/>
      <c r="N264" s="57"/>
      <c r="O264" s="227">
        <f t="shared" si="52"/>
        <v>0</v>
      </c>
    </row>
    <row r="265" spans="1:15" ht="30">
      <c r="A265" s="230" t="s">
        <v>283</v>
      </c>
      <c r="B265" s="231" t="s">
        <v>310</v>
      </c>
      <c r="C265" s="57">
        <v>880000</v>
      </c>
      <c r="D265" s="57">
        <f>1863344-186100-163691</f>
        <v>1513553</v>
      </c>
      <c r="E265" s="57"/>
      <c r="F265" s="229">
        <v>59378</v>
      </c>
      <c r="G265" s="57">
        <f>53103-15638-19183+803</f>
        <v>19085</v>
      </c>
      <c r="H265" s="57">
        <f>15794-5135+976</f>
        <v>11635</v>
      </c>
      <c r="I265" s="57"/>
      <c r="J265" s="57">
        <v>38672</v>
      </c>
      <c r="K265" s="57"/>
      <c r="L265" s="57">
        <f>67350-6322+182</f>
        <v>61210</v>
      </c>
      <c r="M265" s="57">
        <f>11099-3000-6000+292</f>
        <v>2391</v>
      </c>
      <c r="N265" s="57">
        <f>33618-13000+973</f>
        <v>21591</v>
      </c>
      <c r="O265" s="227">
        <f t="shared" si="52"/>
        <v>2607515</v>
      </c>
    </row>
    <row r="266" spans="1:15" ht="30">
      <c r="A266" s="56" t="s">
        <v>259</v>
      </c>
      <c r="B266" s="232" t="s">
        <v>260</v>
      </c>
      <c r="C266" s="227">
        <f>C50-C260-C261-C262-C263-C265</f>
        <v>8599964</v>
      </c>
      <c r="D266" s="227">
        <f aca="true" t="shared" si="54" ref="D266:N266">D50-D260-D261-D262-D265</f>
        <v>-884037</v>
      </c>
      <c r="E266" s="227">
        <f t="shared" si="54"/>
        <v>-1112215</v>
      </c>
      <c r="F266" s="227">
        <f t="shared" si="54"/>
        <v>-92742</v>
      </c>
      <c r="G266" s="227">
        <f t="shared" si="54"/>
        <v>-1934814</v>
      </c>
      <c r="H266" s="227">
        <f t="shared" si="54"/>
        <v>-279927</v>
      </c>
      <c r="I266" s="227">
        <f t="shared" si="54"/>
        <v>-747705</v>
      </c>
      <c r="J266" s="227">
        <f t="shared" si="54"/>
        <v>-1905219</v>
      </c>
      <c r="K266" s="227">
        <f t="shared" si="54"/>
        <v>-203400</v>
      </c>
      <c r="L266" s="227">
        <f t="shared" si="54"/>
        <v>-255706</v>
      </c>
      <c r="M266" s="227">
        <f t="shared" si="54"/>
        <v>-272611</v>
      </c>
      <c r="N266" s="227">
        <f t="shared" si="54"/>
        <v>-911588</v>
      </c>
      <c r="O266" s="227">
        <f t="shared" si="52"/>
        <v>0</v>
      </c>
    </row>
    <row r="267" spans="1:15" ht="15">
      <c r="A267" s="57"/>
      <c r="B267" s="233"/>
      <c r="C267" s="227"/>
      <c r="D267" s="227"/>
      <c r="E267" s="227"/>
      <c r="F267" s="227"/>
      <c r="G267" s="227"/>
      <c r="H267" s="234"/>
      <c r="I267" s="227"/>
      <c r="J267" s="234"/>
      <c r="K267" s="227"/>
      <c r="L267" s="227"/>
      <c r="M267" s="227"/>
      <c r="N267" s="227"/>
      <c r="O267" s="227"/>
    </row>
    <row r="268" spans="1:15" ht="15">
      <c r="A268" s="57"/>
      <c r="B268" s="235" t="s">
        <v>281</v>
      </c>
      <c r="C268" s="57"/>
      <c r="D268" s="57" t="s">
        <v>20</v>
      </c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236"/>
    </row>
    <row r="269" spans="1:15" ht="15">
      <c r="A269" s="229"/>
      <c r="B269" s="107"/>
      <c r="C269" s="227"/>
      <c r="D269" s="227"/>
      <c r="E269" s="227"/>
      <c r="F269" s="227"/>
      <c r="G269" s="251"/>
      <c r="H269" s="229"/>
      <c r="I269" s="57"/>
      <c r="J269" s="229"/>
      <c r="K269" s="229"/>
      <c r="L269" s="229"/>
      <c r="M269" s="57"/>
      <c r="N269" s="229"/>
      <c r="O269" s="229"/>
    </row>
    <row r="270" spans="1:15" ht="15">
      <c r="A270" s="229"/>
      <c r="B270" s="107"/>
      <c r="C270" s="227"/>
      <c r="D270" s="227"/>
      <c r="E270" s="227"/>
      <c r="F270" s="227"/>
      <c r="G270" s="251"/>
      <c r="H270" s="229"/>
      <c r="I270" s="57"/>
      <c r="J270" s="229"/>
      <c r="K270" s="229"/>
      <c r="L270" s="229"/>
      <c r="M270" s="57"/>
      <c r="N270" s="229"/>
      <c r="O270" s="229"/>
    </row>
    <row r="271" spans="1:15" ht="15">
      <c r="A271" s="229"/>
      <c r="B271" s="107"/>
      <c r="C271" s="227"/>
      <c r="D271" s="227"/>
      <c r="E271" s="227"/>
      <c r="F271" s="227"/>
      <c r="G271" s="251"/>
      <c r="H271" s="229"/>
      <c r="I271" s="57"/>
      <c r="J271" s="229"/>
      <c r="K271" s="229"/>
      <c r="L271" s="229"/>
      <c r="M271" s="57"/>
      <c r="N271" s="229"/>
      <c r="O271" s="229"/>
    </row>
    <row r="272" spans="1:15" ht="15">
      <c r="A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226"/>
    </row>
    <row r="273" spans="1:15" ht="44.25" customHeight="1" thickBot="1">
      <c r="A273" s="355" t="s">
        <v>505</v>
      </c>
      <c r="B273" s="355"/>
      <c r="C273" s="355"/>
      <c r="D273" s="355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226"/>
    </row>
    <row r="274" spans="1:15" ht="90.75" thickBot="1">
      <c r="A274" s="143" t="s">
        <v>9</v>
      </c>
      <c r="B274" s="144" t="s">
        <v>135</v>
      </c>
      <c r="C274" s="68" t="s">
        <v>445</v>
      </c>
      <c r="D274" s="145" t="s">
        <v>446</v>
      </c>
      <c r="E274" s="68" t="s">
        <v>447</v>
      </c>
      <c r="F274" s="68" t="s">
        <v>448</v>
      </c>
      <c r="G274" s="146" t="s">
        <v>449</v>
      </c>
      <c r="H274" s="146" t="s">
        <v>450</v>
      </c>
      <c r="I274" s="146" t="s">
        <v>451</v>
      </c>
      <c r="J274" s="146" t="s">
        <v>452</v>
      </c>
      <c r="K274" s="146" t="s">
        <v>453</v>
      </c>
      <c r="L274" s="146" t="s">
        <v>454</v>
      </c>
      <c r="M274" s="146" t="s">
        <v>455</v>
      </c>
      <c r="N274" s="147" t="s">
        <v>456</v>
      </c>
      <c r="O274" s="148" t="s">
        <v>457</v>
      </c>
    </row>
    <row r="275" spans="1:15" ht="15">
      <c r="A275" s="252">
        <v>1100</v>
      </c>
      <c r="B275" s="112" t="s">
        <v>180</v>
      </c>
      <c r="C275" s="53">
        <f>11875045+1702153+1+52004+29+27+17-160+813</f>
        <v>13629929</v>
      </c>
      <c r="D275" s="53">
        <v>963311</v>
      </c>
      <c r="E275" s="53">
        <v>621956</v>
      </c>
      <c r="F275" s="53">
        <v>71528</v>
      </c>
      <c r="G275" s="253">
        <v>1200113</v>
      </c>
      <c r="H275" s="53">
        <v>148528</v>
      </c>
      <c r="I275" s="53">
        <v>427245</v>
      </c>
      <c r="J275" s="53">
        <v>1457907</v>
      </c>
      <c r="K275" s="53">
        <v>100400</v>
      </c>
      <c r="L275" s="53">
        <v>147368</v>
      </c>
      <c r="M275" s="53">
        <v>140523</v>
      </c>
      <c r="N275" s="254">
        <v>597087</v>
      </c>
      <c r="O275" s="192">
        <f aca="true" t="shared" si="55" ref="O275:O297">SUM(C275:N275)</f>
        <v>19505895</v>
      </c>
    </row>
    <row r="276" spans="1:15" ht="45">
      <c r="A276" s="119">
        <v>1200</v>
      </c>
      <c r="B276" s="51" t="s">
        <v>261</v>
      </c>
      <c r="C276" s="43">
        <f>3532020+430071-1+9636-29+212+207-17-10</f>
        <v>3972089</v>
      </c>
      <c r="D276" s="43">
        <v>232064</v>
      </c>
      <c r="E276" s="43">
        <v>189238</v>
      </c>
      <c r="F276" s="43">
        <v>21532</v>
      </c>
      <c r="G276" s="125">
        <v>434072</v>
      </c>
      <c r="H276" s="43">
        <v>43299</v>
      </c>
      <c r="I276" s="43">
        <v>128593</v>
      </c>
      <c r="J276" s="43">
        <v>444931</v>
      </c>
      <c r="K276" s="43">
        <v>30306</v>
      </c>
      <c r="L276" s="43">
        <v>43792</v>
      </c>
      <c r="M276" s="43">
        <v>40468</v>
      </c>
      <c r="N276" s="87">
        <v>178107</v>
      </c>
      <c r="O276" s="158">
        <f>SUM(C276:N276)</f>
        <v>5758491</v>
      </c>
    </row>
    <row r="277" spans="1:15" ht="15">
      <c r="A277" s="119">
        <v>2000</v>
      </c>
      <c r="B277" s="51" t="s">
        <v>166</v>
      </c>
      <c r="C277" s="43">
        <f aca="true" t="shared" si="56" ref="C277:N277">SUM(C278:C283)</f>
        <v>6769551</v>
      </c>
      <c r="D277" s="43">
        <f t="shared" si="56"/>
        <v>1552617</v>
      </c>
      <c r="E277" s="43">
        <f t="shared" si="56"/>
        <v>456640</v>
      </c>
      <c r="F277" s="43">
        <f t="shared" si="56"/>
        <v>231902</v>
      </c>
      <c r="G277" s="83">
        <f t="shared" si="56"/>
        <v>566689</v>
      </c>
      <c r="H277" s="43">
        <f t="shared" si="56"/>
        <v>238997</v>
      </c>
      <c r="I277" s="43">
        <f t="shared" si="56"/>
        <v>391279</v>
      </c>
      <c r="J277" s="43">
        <f t="shared" si="56"/>
        <v>858418</v>
      </c>
      <c r="K277" s="43">
        <f>SUM(K278:K283)</f>
        <v>182572</v>
      </c>
      <c r="L277" s="43">
        <f t="shared" si="56"/>
        <v>113039</v>
      </c>
      <c r="M277" s="43">
        <f t="shared" si="56"/>
        <v>151879</v>
      </c>
      <c r="N277" s="87">
        <f t="shared" si="56"/>
        <v>205270</v>
      </c>
      <c r="O277" s="158">
        <f>SUM(C277:N277)</f>
        <v>11718853</v>
      </c>
    </row>
    <row r="278" spans="1:15" ht="30">
      <c r="A278" s="119">
        <v>2100</v>
      </c>
      <c r="B278" s="51" t="s">
        <v>295</v>
      </c>
      <c r="C278" s="43">
        <f>83406+586-5217-3500-1000</f>
        <v>74275</v>
      </c>
      <c r="D278" s="43">
        <v>1500</v>
      </c>
      <c r="E278" s="43">
        <v>157</v>
      </c>
      <c r="F278" s="43"/>
      <c r="G278" s="83">
        <v>600</v>
      </c>
      <c r="H278" s="43">
        <v>9</v>
      </c>
      <c r="I278" s="43">
        <v>64</v>
      </c>
      <c r="J278" s="43">
        <v>4029</v>
      </c>
      <c r="K278" s="43"/>
      <c r="L278" s="43">
        <v>145</v>
      </c>
      <c r="M278" s="17">
        <v>600</v>
      </c>
      <c r="N278" s="87">
        <v>424</v>
      </c>
      <c r="O278" s="158">
        <f t="shared" si="55"/>
        <v>81803</v>
      </c>
    </row>
    <row r="279" spans="1:15" ht="15">
      <c r="A279" s="119">
        <v>2200</v>
      </c>
      <c r="B279" s="51" t="s">
        <v>167</v>
      </c>
      <c r="C279" s="43">
        <f>6163082-606683-1-445209-239-207+170-10000-813-10997</f>
        <v>5089103</v>
      </c>
      <c r="D279" s="43">
        <v>1071837</v>
      </c>
      <c r="E279" s="43">
        <v>340928</v>
      </c>
      <c r="F279" s="43">
        <v>210875</v>
      </c>
      <c r="G279" s="83">
        <f>329756-18699</f>
        <v>311057</v>
      </c>
      <c r="H279" s="17">
        <v>193039</v>
      </c>
      <c r="I279" s="43">
        <v>275414</v>
      </c>
      <c r="J279" s="43">
        <f>497657+2985</f>
        <v>500642</v>
      </c>
      <c r="K279" s="43">
        <f>144158+192</f>
        <v>144350</v>
      </c>
      <c r="L279" s="43">
        <v>81947</v>
      </c>
      <c r="M279" s="17">
        <v>122099</v>
      </c>
      <c r="N279" s="87">
        <v>90732</v>
      </c>
      <c r="O279" s="158">
        <f t="shared" si="55"/>
        <v>8432023</v>
      </c>
    </row>
    <row r="280" spans="1:15" ht="30">
      <c r="A280" s="119">
        <v>2300</v>
      </c>
      <c r="B280" s="51" t="s">
        <v>168</v>
      </c>
      <c r="C280" s="43">
        <f>1355383+145765+26694+12099-3000</f>
        <v>1536941</v>
      </c>
      <c r="D280" s="43">
        <v>212976</v>
      </c>
      <c r="E280" s="43">
        <v>109555</v>
      </c>
      <c r="F280" s="43">
        <v>9863</v>
      </c>
      <c r="G280" s="83">
        <v>252832</v>
      </c>
      <c r="H280" s="17">
        <v>38955</v>
      </c>
      <c r="I280" s="43">
        <v>110713</v>
      </c>
      <c r="J280" s="17">
        <v>336181</v>
      </c>
      <c r="K280" s="43">
        <v>35248</v>
      </c>
      <c r="L280" s="43">
        <v>27642</v>
      </c>
      <c r="M280" s="17">
        <v>27880</v>
      </c>
      <c r="N280" s="87">
        <v>110526</v>
      </c>
      <c r="O280" s="158">
        <f>SUM(C280:N280)</f>
        <v>2809312</v>
      </c>
    </row>
    <row r="281" spans="1:15" ht="15">
      <c r="A281" s="119">
        <v>2400</v>
      </c>
      <c r="B281" s="51" t="s">
        <v>169</v>
      </c>
      <c r="C281" s="43">
        <f>5720-1135</f>
        <v>4585</v>
      </c>
      <c r="D281" s="43"/>
      <c r="E281" s="43"/>
      <c r="F281" s="43">
        <v>0</v>
      </c>
      <c r="G281" s="83">
        <v>1900</v>
      </c>
      <c r="H281" s="43">
        <v>441</v>
      </c>
      <c r="I281" s="43">
        <v>500</v>
      </c>
      <c r="J281" s="43">
        <v>1423</v>
      </c>
      <c r="K281" s="43">
        <v>1280</v>
      </c>
      <c r="L281" s="43">
        <v>805</v>
      </c>
      <c r="M281" s="43">
        <v>800</v>
      </c>
      <c r="N281" s="87">
        <v>1704</v>
      </c>
      <c r="O281" s="158">
        <f t="shared" si="55"/>
        <v>13438</v>
      </c>
    </row>
    <row r="282" spans="1:15" ht="15">
      <c r="A282" s="119">
        <v>2500</v>
      </c>
      <c r="B282" s="51" t="s">
        <v>170</v>
      </c>
      <c r="C282" s="43">
        <f>48600+11435+4612</f>
        <v>64647</v>
      </c>
      <c r="D282" s="43">
        <v>266304</v>
      </c>
      <c r="E282" s="43">
        <v>6000</v>
      </c>
      <c r="F282" s="43">
        <v>11164</v>
      </c>
      <c r="G282" s="83">
        <v>300</v>
      </c>
      <c r="H282" s="43">
        <v>6553</v>
      </c>
      <c r="I282" s="43">
        <v>4588</v>
      </c>
      <c r="J282" s="43">
        <v>16143</v>
      </c>
      <c r="K282" s="43">
        <v>1694</v>
      </c>
      <c r="L282" s="43">
        <v>2500</v>
      </c>
      <c r="M282" s="43">
        <v>500</v>
      </c>
      <c r="N282" s="87">
        <v>1884</v>
      </c>
      <c r="O282" s="158">
        <f t="shared" si="55"/>
        <v>382277</v>
      </c>
    </row>
    <row r="283" spans="1:15" ht="45">
      <c r="A283" s="119">
        <v>2800</v>
      </c>
      <c r="B283" s="51" t="s">
        <v>262</v>
      </c>
      <c r="C283" s="43"/>
      <c r="D283" s="43"/>
      <c r="E283" s="43"/>
      <c r="F283" s="43"/>
      <c r="G283" s="83"/>
      <c r="H283" s="43"/>
      <c r="I283" s="43"/>
      <c r="J283" s="43"/>
      <c r="K283" s="43"/>
      <c r="L283" s="43"/>
      <c r="M283" s="43"/>
      <c r="N283" s="87"/>
      <c r="O283" s="158">
        <f t="shared" si="55"/>
        <v>0</v>
      </c>
    </row>
    <row r="284" spans="1:15" ht="30">
      <c r="A284" s="119">
        <v>3200</v>
      </c>
      <c r="B284" s="51" t="s">
        <v>263</v>
      </c>
      <c r="C284" s="43">
        <f>1959193+180666+44890-1102</f>
        <v>2183647</v>
      </c>
      <c r="D284" s="43"/>
      <c r="E284" s="43"/>
      <c r="F284" s="43"/>
      <c r="G284" s="83"/>
      <c r="H284" s="43"/>
      <c r="I284" s="43"/>
      <c r="J284" s="43"/>
      <c r="K284" s="43"/>
      <c r="L284" s="43"/>
      <c r="M284" s="43"/>
      <c r="N284" s="87"/>
      <c r="O284" s="158">
        <f t="shared" si="55"/>
        <v>2183647</v>
      </c>
    </row>
    <row r="285" spans="1:15" ht="15">
      <c r="A285" s="119">
        <v>4200</v>
      </c>
      <c r="B285" s="51" t="s">
        <v>506</v>
      </c>
      <c r="C285" s="43"/>
      <c r="D285" s="43"/>
      <c r="E285" s="43"/>
      <c r="F285" s="43"/>
      <c r="G285" s="83"/>
      <c r="H285" s="43"/>
      <c r="I285" s="43"/>
      <c r="J285" s="43"/>
      <c r="K285" s="43"/>
      <c r="L285" s="43"/>
      <c r="M285" s="43"/>
      <c r="N285" s="87"/>
      <c r="O285" s="158">
        <f t="shared" si="55"/>
        <v>0</v>
      </c>
    </row>
    <row r="286" spans="1:15" ht="15">
      <c r="A286" s="119">
        <v>4300</v>
      </c>
      <c r="B286" s="51" t="s">
        <v>171</v>
      </c>
      <c r="C286" s="43">
        <v>38431</v>
      </c>
      <c r="D286" s="43"/>
      <c r="E286" s="43"/>
      <c r="F286" s="43">
        <v>100</v>
      </c>
      <c r="G286" s="83"/>
      <c r="H286" s="43"/>
      <c r="I286" s="43"/>
      <c r="J286" s="43"/>
      <c r="K286" s="43"/>
      <c r="L286" s="43"/>
      <c r="M286" s="43"/>
      <c r="N286" s="87"/>
      <c r="O286" s="158">
        <f t="shared" si="55"/>
        <v>38531</v>
      </c>
    </row>
    <row r="287" spans="1:15" ht="15">
      <c r="A287" s="119">
        <v>5100</v>
      </c>
      <c r="B287" s="51" t="s">
        <v>129</v>
      </c>
      <c r="C287" s="43">
        <f>72743+11779+24511</f>
        <v>109033</v>
      </c>
      <c r="D287" s="43"/>
      <c r="E287" s="43">
        <v>486</v>
      </c>
      <c r="F287" s="43">
        <v>490</v>
      </c>
      <c r="G287" s="83">
        <v>150</v>
      </c>
      <c r="H287" s="43">
        <v>0</v>
      </c>
      <c r="I287" s="43">
        <v>245</v>
      </c>
      <c r="J287" s="43"/>
      <c r="K287" s="43"/>
      <c r="L287" s="43">
        <v>235</v>
      </c>
      <c r="M287" s="43"/>
      <c r="N287" s="87">
        <v>483</v>
      </c>
      <c r="O287" s="158">
        <f t="shared" si="55"/>
        <v>111122</v>
      </c>
    </row>
    <row r="288" spans="1:15" ht="15">
      <c r="A288" s="119">
        <v>5200</v>
      </c>
      <c r="B288" s="51" t="s">
        <v>172</v>
      </c>
      <c r="C288" s="43">
        <f>22692006+263018+1+284000+10000+1000+3000+124212</f>
        <v>23377237</v>
      </c>
      <c r="D288" s="43">
        <v>896855</v>
      </c>
      <c r="E288" s="43">
        <v>123410</v>
      </c>
      <c r="F288" s="43">
        <f>30177-490</f>
        <v>29687</v>
      </c>
      <c r="G288" s="83">
        <f>90545+18699</f>
        <v>109244</v>
      </c>
      <c r="H288" s="43">
        <v>15789</v>
      </c>
      <c r="I288" s="43">
        <v>96673</v>
      </c>
      <c r="J288" s="43">
        <f>273792-2985</f>
        <v>270807</v>
      </c>
      <c r="K288" s="43">
        <v>8161</v>
      </c>
      <c r="L288" s="43">
        <v>47523</v>
      </c>
      <c r="M288" s="43">
        <v>16498</v>
      </c>
      <c r="N288" s="87">
        <v>58005</v>
      </c>
      <c r="O288" s="158">
        <f t="shared" si="55"/>
        <v>25049889</v>
      </c>
    </row>
    <row r="289" spans="1:15" ht="15">
      <c r="A289" s="119">
        <v>6200</v>
      </c>
      <c r="B289" s="51" t="s">
        <v>173</v>
      </c>
      <c r="C289" s="43">
        <f>350828+51493+3200</f>
        <v>405521</v>
      </c>
      <c r="D289" s="43"/>
      <c r="E289" s="43"/>
      <c r="F289" s="43"/>
      <c r="G289" s="83">
        <v>39934</v>
      </c>
      <c r="H289" s="43">
        <f>18265-2400</f>
        <v>15865</v>
      </c>
      <c r="I289" s="43">
        <f>24371-2400</f>
        <v>21971</v>
      </c>
      <c r="J289" s="43">
        <v>27978</v>
      </c>
      <c r="K289" s="43">
        <f>29669</f>
        <v>29669</v>
      </c>
      <c r="L289" s="43">
        <f>13191+440</f>
        <v>13631</v>
      </c>
      <c r="M289" s="43">
        <v>14785</v>
      </c>
      <c r="N289" s="87">
        <v>24900</v>
      </c>
      <c r="O289" s="158">
        <f t="shared" si="55"/>
        <v>594254</v>
      </c>
    </row>
    <row r="290" spans="1:15" ht="15">
      <c r="A290" s="119">
        <v>6300</v>
      </c>
      <c r="B290" s="51" t="s">
        <v>174</v>
      </c>
      <c r="C290" s="43">
        <f>229000-24500</f>
        <v>204500</v>
      </c>
      <c r="D290" s="43"/>
      <c r="E290" s="43"/>
      <c r="F290" s="43"/>
      <c r="G290" s="83">
        <v>7105</v>
      </c>
      <c r="H290" s="43">
        <v>3761</v>
      </c>
      <c r="I290" s="43">
        <v>3720</v>
      </c>
      <c r="J290" s="43">
        <v>8917</v>
      </c>
      <c r="K290" s="43">
        <v>280</v>
      </c>
      <c r="L290" s="43">
        <f>518-440</f>
        <v>78</v>
      </c>
      <c r="M290" s="43"/>
      <c r="N290" s="87">
        <v>4500</v>
      </c>
      <c r="O290" s="158">
        <f t="shared" si="55"/>
        <v>232861</v>
      </c>
    </row>
    <row r="291" spans="1:15" ht="30">
      <c r="A291" s="119">
        <v>6400</v>
      </c>
      <c r="B291" s="51" t="s">
        <v>264</v>
      </c>
      <c r="C291" s="43">
        <f>729597+32106-6078</f>
        <v>755625</v>
      </c>
      <c r="D291" s="43"/>
      <c r="E291" s="43"/>
      <c r="F291" s="43"/>
      <c r="G291" s="83">
        <v>11275</v>
      </c>
      <c r="H291" s="43">
        <v>575</v>
      </c>
      <c r="I291" s="43">
        <v>1180</v>
      </c>
      <c r="J291" s="43">
        <v>14284</v>
      </c>
      <c r="K291" s="43">
        <v>1880</v>
      </c>
      <c r="L291" s="43">
        <v>587</v>
      </c>
      <c r="M291" s="43">
        <v>115</v>
      </c>
      <c r="N291" s="87">
        <v>2620</v>
      </c>
      <c r="O291" s="158">
        <f t="shared" si="55"/>
        <v>788141</v>
      </c>
    </row>
    <row r="292" spans="1:15" ht="30">
      <c r="A292" s="119">
        <v>6500</v>
      </c>
      <c r="B292" s="51" t="s">
        <v>296</v>
      </c>
      <c r="C292" s="43">
        <f>1595+12617+3500</f>
        <v>17712</v>
      </c>
      <c r="D292" s="43"/>
      <c r="E292" s="43"/>
      <c r="F292" s="43"/>
      <c r="G292" s="83"/>
      <c r="H292" s="43"/>
      <c r="I292" s="43"/>
      <c r="J292" s="43"/>
      <c r="K292" s="43"/>
      <c r="L292" s="43"/>
      <c r="M292" s="43"/>
      <c r="N292" s="87"/>
      <c r="O292" s="158">
        <f t="shared" si="55"/>
        <v>17712</v>
      </c>
    </row>
    <row r="293" spans="1:15" ht="15">
      <c r="A293" s="119">
        <v>7200</v>
      </c>
      <c r="B293" s="51" t="s">
        <v>265</v>
      </c>
      <c r="C293" s="43">
        <f>900506+87101-20229</f>
        <v>967378</v>
      </c>
      <c r="D293" s="43"/>
      <c r="E293" s="43"/>
      <c r="F293" s="43"/>
      <c r="G293" s="83"/>
      <c r="H293" s="43"/>
      <c r="I293" s="43"/>
      <c r="J293" s="43"/>
      <c r="K293" s="43"/>
      <c r="L293" s="43"/>
      <c r="M293" s="43"/>
      <c r="N293" s="87"/>
      <c r="O293" s="158">
        <f>SUM(C293:N293)</f>
        <v>967378</v>
      </c>
    </row>
    <row r="294" spans="1:15" ht="51.75">
      <c r="A294" s="119">
        <v>7800</v>
      </c>
      <c r="B294" s="9" t="s">
        <v>554</v>
      </c>
      <c r="C294" s="43">
        <v>4053</v>
      </c>
      <c r="D294" s="43"/>
      <c r="E294" s="43"/>
      <c r="F294" s="43"/>
      <c r="G294" s="83"/>
      <c r="H294" s="43"/>
      <c r="I294" s="43"/>
      <c r="J294" s="43"/>
      <c r="K294" s="43"/>
      <c r="L294" s="43"/>
      <c r="M294" s="43"/>
      <c r="N294" s="85"/>
      <c r="O294" s="158">
        <f>SUM(C294:N294)</f>
        <v>4053</v>
      </c>
    </row>
    <row r="295" spans="1:15" ht="15">
      <c r="A295" s="119">
        <v>8100</v>
      </c>
      <c r="B295" s="43" t="s">
        <v>321</v>
      </c>
      <c r="C295" s="43"/>
      <c r="D295" s="43"/>
      <c r="E295" s="43"/>
      <c r="F295" s="43"/>
      <c r="G295" s="83"/>
      <c r="H295" s="43"/>
      <c r="I295" s="43"/>
      <c r="J295" s="43"/>
      <c r="K295" s="43"/>
      <c r="L295" s="43"/>
      <c r="M295" s="43"/>
      <c r="N295" s="83"/>
      <c r="O295" s="158">
        <f t="shared" si="55"/>
        <v>0</v>
      </c>
    </row>
    <row r="296" spans="1:15" ht="45">
      <c r="A296" s="119">
        <v>8900</v>
      </c>
      <c r="B296" s="96" t="s">
        <v>507</v>
      </c>
      <c r="C296" s="98"/>
      <c r="D296" s="98"/>
      <c r="E296" s="98"/>
      <c r="F296" s="98"/>
      <c r="G296" s="43"/>
      <c r="H296" s="98"/>
      <c r="I296" s="98"/>
      <c r="J296" s="98"/>
      <c r="K296" s="98"/>
      <c r="L296" s="98"/>
      <c r="M296" s="43"/>
      <c r="N296" s="92"/>
      <c r="O296" s="158">
        <f t="shared" si="55"/>
        <v>0</v>
      </c>
    </row>
    <row r="297" spans="1:15" ht="15.75" thickBot="1">
      <c r="A297" s="106">
        <v>9000</v>
      </c>
      <c r="B297" s="255" t="s">
        <v>435</v>
      </c>
      <c r="C297" s="113">
        <v>9800</v>
      </c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5"/>
      <c r="O297" s="158">
        <f t="shared" si="55"/>
        <v>9800</v>
      </c>
    </row>
    <row r="298" spans="1:15" ht="15.75" thickBot="1">
      <c r="A298" s="224"/>
      <c r="B298" s="256" t="s">
        <v>175</v>
      </c>
      <c r="C298" s="257">
        <f>SUM(C275:C277,C284:C297)</f>
        <v>52444506</v>
      </c>
      <c r="D298" s="257">
        <f aca="true" t="shared" si="57" ref="D298:N298">SUM(D275:D277,D284:D297)</f>
        <v>3644847</v>
      </c>
      <c r="E298" s="257">
        <f t="shared" si="57"/>
        <v>1391730</v>
      </c>
      <c r="F298" s="257">
        <f t="shared" si="57"/>
        <v>355239</v>
      </c>
      <c r="G298" s="257">
        <f t="shared" si="57"/>
        <v>2368582</v>
      </c>
      <c r="H298" s="257">
        <f t="shared" si="57"/>
        <v>466814</v>
      </c>
      <c r="I298" s="257">
        <f t="shared" si="57"/>
        <v>1070906</v>
      </c>
      <c r="J298" s="257">
        <f t="shared" si="57"/>
        <v>3083242</v>
      </c>
      <c r="K298" s="257">
        <f>SUM(K275:K277,K284:K297)</f>
        <v>353268</v>
      </c>
      <c r="L298" s="257">
        <f t="shared" si="57"/>
        <v>366253</v>
      </c>
      <c r="M298" s="257">
        <f t="shared" si="57"/>
        <v>364268</v>
      </c>
      <c r="N298" s="257">
        <f t="shared" si="57"/>
        <v>1070972</v>
      </c>
      <c r="O298" s="75">
        <f>SUM(C298:N298)</f>
        <v>66980627</v>
      </c>
    </row>
    <row r="299" spans="2:6" ht="15">
      <c r="B299" s="258"/>
      <c r="C299" s="242"/>
      <c r="D299" s="229"/>
      <c r="E299" s="57"/>
      <c r="F299" s="57"/>
    </row>
    <row r="300" spans="2:15" ht="15">
      <c r="B300" s="258"/>
      <c r="C300" s="242"/>
      <c r="D300" s="229"/>
      <c r="E300" s="57"/>
      <c r="F300" s="57"/>
      <c r="O300" s="226"/>
    </row>
    <row r="301" spans="2:6" ht="15">
      <c r="B301" s="259" t="s">
        <v>281</v>
      </c>
      <c r="C301" s="242"/>
      <c r="D301" s="229"/>
      <c r="E301" s="57" t="s">
        <v>20</v>
      </c>
      <c r="F301" s="57"/>
    </row>
    <row r="306" ht="15">
      <c r="B306" s="259"/>
    </row>
  </sheetData>
  <sheetProtection/>
  <mergeCells count="3">
    <mergeCell ref="A5:D5"/>
    <mergeCell ref="A62:D62"/>
    <mergeCell ref="A273:D273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PageLayoutView="0" workbookViewId="0" topLeftCell="A1">
      <selection activeCell="J4" sqref="J4"/>
    </sheetView>
  </sheetViews>
  <sheetFormatPr defaultColWidth="8.8515625" defaultRowHeight="12.75"/>
  <cols>
    <col min="1" max="1" width="5.421875" style="275" customWidth="1"/>
    <col min="2" max="2" width="50.57421875" style="295" customWidth="1"/>
    <col min="3" max="3" width="16.7109375" style="275" customWidth="1"/>
    <col min="4" max="4" width="6.421875" style="275" customWidth="1"/>
    <col min="5" max="5" width="13.28125" style="275" customWidth="1"/>
    <col min="6" max="7" width="8.8515625" style="275" customWidth="1"/>
    <col min="8" max="16384" width="8.8515625" style="275" customWidth="1"/>
  </cols>
  <sheetData>
    <row r="1" spans="2:4" ht="15.75">
      <c r="B1" s="356" t="s">
        <v>556</v>
      </c>
      <c r="C1" s="356"/>
      <c r="D1" s="356"/>
    </row>
    <row r="2" spans="2:4" ht="15.75">
      <c r="B2" s="357" t="s">
        <v>444</v>
      </c>
      <c r="C2" s="357"/>
      <c r="D2" s="357"/>
    </row>
    <row r="3" spans="2:4" ht="15.75">
      <c r="B3" s="357" t="s">
        <v>555</v>
      </c>
      <c r="C3" s="357"/>
      <c r="D3" s="357"/>
    </row>
    <row r="4" spans="1:3" ht="20.25" customHeight="1" thickBot="1">
      <c r="A4" s="358" t="s">
        <v>557</v>
      </c>
      <c r="B4" s="358"/>
      <c r="C4" s="358"/>
    </row>
    <row r="5" spans="1:3" ht="48" thickBot="1">
      <c r="A5" s="276" t="s">
        <v>558</v>
      </c>
      <c r="B5" s="277"/>
      <c r="C5" s="278" t="s">
        <v>559</v>
      </c>
    </row>
    <row r="6" spans="1:3" ht="31.5">
      <c r="A6" s="279">
        <v>1</v>
      </c>
      <c r="B6" s="280" t="s">
        <v>560</v>
      </c>
      <c r="C6" s="281">
        <v>1811915</v>
      </c>
    </row>
    <row r="7" spans="1:3" ht="47.25">
      <c r="A7" s="282">
        <v>2</v>
      </c>
      <c r="B7" s="264" t="s">
        <v>561</v>
      </c>
      <c r="C7" s="281">
        <v>1615687</v>
      </c>
    </row>
    <row r="8" spans="1:3" ht="31.5">
      <c r="A8" s="282">
        <v>3</v>
      </c>
      <c r="B8" s="12" t="s">
        <v>553</v>
      </c>
      <c r="C8" s="281">
        <v>541641</v>
      </c>
    </row>
    <row r="9" spans="1:7" ht="31.5" customHeight="1">
      <c r="A9" s="282">
        <v>4</v>
      </c>
      <c r="B9" s="283" t="s">
        <v>408</v>
      </c>
      <c r="C9" s="281">
        <v>508299</v>
      </c>
      <c r="G9" s="284"/>
    </row>
    <row r="10" spans="1:6" ht="31.5">
      <c r="A10" s="282">
        <v>5</v>
      </c>
      <c r="B10" s="283" t="s">
        <v>562</v>
      </c>
      <c r="C10" s="281">
        <v>600000</v>
      </c>
      <c r="F10" s="284"/>
    </row>
    <row r="11" spans="1:3" ht="31.5" customHeight="1">
      <c r="A11" s="282">
        <v>6</v>
      </c>
      <c r="B11" s="283" t="s">
        <v>372</v>
      </c>
      <c r="C11" s="281">
        <v>0</v>
      </c>
    </row>
    <row r="12" spans="1:3" ht="31.5">
      <c r="A12" s="282">
        <v>7</v>
      </c>
      <c r="B12" s="283" t="s">
        <v>403</v>
      </c>
      <c r="C12" s="281">
        <v>3436268</v>
      </c>
    </row>
    <row r="13" spans="1:3" ht="45">
      <c r="A13" s="282">
        <v>9</v>
      </c>
      <c r="B13" s="285" t="s">
        <v>563</v>
      </c>
      <c r="C13" s="281">
        <v>419904</v>
      </c>
    </row>
    <row r="14" spans="1:3" ht="15.75">
      <c r="A14" s="282">
        <v>10</v>
      </c>
      <c r="B14" s="283" t="s">
        <v>535</v>
      </c>
      <c r="C14" s="281">
        <v>367859</v>
      </c>
    </row>
    <row r="15" spans="1:4" s="286" customFormat="1" ht="30">
      <c r="A15" s="282">
        <v>11</v>
      </c>
      <c r="B15" s="285" t="s">
        <v>517</v>
      </c>
      <c r="C15" s="281">
        <v>72314</v>
      </c>
      <c r="D15" s="275"/>
    </row>
    <row r="16" spans="1:3" s="286" customFormat="1" ht="15.75">
      <c r="A16" s="282">
        <v>12</v>
      </c>
      <c r="B16" s="283" t="s">
        <v>529</v>
      </c>
      <c r="C16" s="281">
        <v>71001</v>
      </c>
    </row>
    <row r="17" spans="1:3" s="286" customFormat="1" ht="15.75">
      <c r="A17" s="282">
        <v>13</v>
      </c>
      <c r="B17" s="283" t="s">
        <v>528</v>
      </c>
      <c r="C17" s="281">
        <v>193848</v>
      </c>
    </row>
    <row r="18" spans="1:3" s="286" customFormat="1" ht="15.75">
      <c r="A18" s="282">
        <v>14</v>
      </c>
      <c r="B18" s="285" t="s">
        <v>524</v>
      </c>
      <c r="C18" s="281">
        <v>156326</v>
      </c>
    </row>
    <row r="19" spans="1:3" s="286" customFormat="1" ht="15.75">
      <c r="A19" s="282">
        <v>15</v>
      </c>
      <c r="B19" s="283" t="s">
        <v>522</v>
      </c>
      <c r="C19" s="281">
        <v>89843</v>
      </c>
    </row>
    <row r="20" spans="1:3" s="286" customFormat="1" ht="45">
      <c r="A20" s="282">
        <v>16</v>
      </c>
      <c r="B20" s="285" t="s">
        <v>564</v>
      </c>
      <c r="C20" s="281">
        <v>222489</v>
      </c>
    </row>
    <row r="21" spans="1:3" s="286" customFormat="1" ht="15.75">
      <c r="A21" s="282">
        <v>17</v>
      </c>
      <c r="B21" s="283" t="s">
        <v>400</v>
      </c>
      <c r="C21" s="281">
        <v>81000</v>
      </c>
    </row>
    <row r="22" spans="1:3" s="286" customFormat="1" ht="32.25" thickBot="1">
      <c r="A22" s="282">
        <v>18</v>
      </c>
      <c r="B22" s="287" t="s">
        <v>565</v>
      </c>
      <c r="C22" s="288">
        <v>124212</v>
      </c>
    </row>
    <row r="23" spans="1:3" s="292" customFormat="1" ht="16.5" thickBot="1">
      <c r="A23" s="289"/>
      <c r="B23" s="290" t="s">
        <v>181</v>
      </c>
      <c r="C23" s="291">
        <f>SUM(C6:C22)</f>
        <v>10312606</v>
      </c>
    </row>
    <row r="25" spans="2:3" ht="15.75">
      <c r="B25" s="293" t="s">
        <v>281</v>
      </c>
      <c r="C25" s="294" t="s">
        <v>20</v>
      </c>
    </row>
  </sheetData>
  <sheetProtection/>
  <mergeCells count="4">
    <mergeCell ref="B1:D1"/>
    <mergeCell ref="B2:D2"/>
    <mergeCell ref="B3:D3"/>
    <mergeCell ref="A4:C4"/>
  </mergeCells>
  <printOptions/>
  <pageMargins left="0.7480314960629921" right="0.5511811023622047" top="0.7086614173228347" bottom="0.31496062992125984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6.421875" style="0" customWidth="1"/>
    <col min="2" max="2" width="10.57421875" style="0" customWidth="1"/>
    <col min="3" max="3" width="14.421875" style="0" customWidth="1"/>
  </cols>
  <sheetData>
    <row r="1" spans="1:4" ht="15">
      <c r="A1" s="296"/>
      <c r="B1" s="10"/>
      <c r="C1" s="297"/>
      <c r="D1" s="298" t="s">
        <v>566</v>
      </c>
    </row>
    <row r="2" spans="1:4" ht="15">
      <c r="A2" s="296"/>
      <c r="B2" s="10"/>
      <c r="C2" s="297"/>
      <c r="D2" s="8" t="s">
        <v>444</v>
      </c>
    </row>
    <row r="3" spans="1:4" ht="15">
      <c r="A3" s="296"/>
      <c r="B3" s="10"/>
      <c r="C3" s="49"/>
      <c r="D3" s="8" t="s">
        <v>555</v>
      </c>
    </row>
    <row r="4" spans="1:4" ht="18.75">
      <c r="A4" s="359" t="s">
        <v>567</v>
      </c>
      <c r="B4" s="359"/>
      <c r="C4" s="359"/>
      <c r="D4" s="274"/>
    </row>
    <row r="5" spans="1:4" ht="15.75">
      <c r="A5" s="296"/>
      <c r="B5" s="299" t="s">
        <v>568</v>
      </c>
      <c r="C5" s="300" t="s">
        <v>275</v>
      </c>
      <c r="D5" s="301"/>
    </row>
    <row r="6" spans="1:4" ht="30">
      <c r="A6" s="15" t="s">
        <v>569</v>
      </c>
      <c r="B6" s="262"/>
      <c r="C6" s="262">
        <v>5841132</v>
      </c>
      <c r="D6" s="57"/>
    </row>
    <row r="7" spans="1:4" ht="30">
      <c r="A7" s="16" t="s">
        <v>552</v>
      </c>
      <c r="B7" s="262"/>
      <c r="C7" s="262">
        <v>12828</v>
      </c>
      <c r="D7" s="57"/>
    </row>
    <row r="8" spans="1:4" ht="30">
      <c r="A8" s="15" t="s">
        <v>570</v>
      </c>
      <c r="B8" s="262"/>
      <c r="C8" s="262">
        <v>329184</v>
      </c>
      <c r="D8" s="57"/>
    </row>
    <row r="9" spans="1:4" ht="15.75">
      <c r="A9" s="15" t="s">
        <v>571</v>
      </c>
      <c r="B9" s="302">
        <v>197224</v>
      </c>
      <c r="C9" s="302">
        <v>336236</v>
      </c>
      <c r="D9" s="303"/>
    </row>
    <row r="10" spans="1:4" ht="30">
      <c r="A10" s="15" t="s">
        <v>572</v>
      </c>
      <c r="B10" s="260"/>
      <c r="C10" s="261">
        <v>3640</v>
      </c>
      <c r="D10" s="304"/>
    </row>
    <row r="11" spans="1:4" ht="30">
      <c r="A11" s="15" t="s">
        <v>573</v>
      </c>
      <c r="B11" s="260"/>
      <c r="C11" s="261">
        <v>815177</v>
      </c>
      <c r="D11" s="304"/>
    </row>
    <row r="12" spans="1:4" ht="30">
      <c r="A12" s="15" t="s">
        <v>574</v>
      </c>
      <c r="B12" s="260"/>
      <c r="C12" s="261">
        <v>29378</v>
      </c>
      <c r="D12" s="304"/>
    </row>
    <row r="13" spans="1:4" ht="15.75">
      <c r="A13" s="16" t="s">
        <v>575</v>
      </c>
      <c r="B13" s="260"/>
      <c r="C13" s="261">
        <v>128000</v>
      </c>
      <c r="D13" s="304"/>
    </row>
    <row r="14" spans="1:4" ht="30">
      <c r="A14" s="15" t="s">
        <v>576</v>
      </c>
      <c r="B14" s="260"/>
      <c r="C14" s="261">
        <v>251348</v>
      </c>
      <c r="D14" s="304"/>
    </row>
    <row r="15" spans="1:4" ht="30">
      <c r="A15" s="15" t="s">
        <v>577</v>
      </c>
      <c r="B15" s="14"/>
      <c r="C15" s="305">
        <v>203391</v>
      </c>
      <c r="D15" s="304"/>
    </row>
    <row r="16" spans="1:4" ht="30">
      <c r="A16" s="15" t="s">
        <v>578</v>
      </c>
      <c r="B16" s="260"/>
      <c r="C16" s="305">
        <v>123058</v>
      </c>
      <c r="D16" s="57"/>
    </row>
    <row r="17" spans="1:4" ht="30">
      <c r="A17" s="15" t="s">
        <v>579</v>
      </c>
      <c r="B17" s="260"/>
      <c r="C17" s="305">
        <v>408935</v>
      </c>
      <c r="D17" s="57"/>
    </row>
    <row r="18" spans="1:4" ht="30">
      <c r="A18" s="15" t="s">
        <v>580</v>
      </c>
      <c r="B18" s="260"/>
      <c r="C18" s="305">
        <v>104831</v>
      </c>
      <c r="D18" s="57"/>
    </row>
    <row r="19" spans="1:4" ht="15.75">
      <c r="A19" s="306" t="s">
        <v>581</v>
      </c>
      <c r="B19" s="260"/>
      <c r="C19" s="305">
        <v>86437</v>
      </c>
      <c r="D19" s="57"/>
    </row>
    <row r="20" spans="1:4" ht="15.75">
      <c r="A20" s="306" t="s">
        <v>582</v>
      </c>
      <c r="B20" s="260"/>
      <c r="C20" s="305">
        <v>976213</v>
      </c>
      <c r="D20" s="57"/>
    </row>
    <row r="21" spans="1:4" ht="15.75">
      <c r="A21" s="306" t="s">
        <v>583</v>
      </c>
      <c r="B21" s="260"/>
      <c r="C21" s="305">
        <v>5520</v>
      </c>
      <c r="D21" s="57"/>
    </row>
    <row r="22" spans="1:4" ht="78.75">
      <c r="A22" s="12" t="s">
        <v>584</v>
      </c>
      <c r="B22" s="260"/>
      <c r="C22" s="305">
        <v>12914</v>
      </c>
      <c r="D22" s="57"/>
    </row>
    <row r="23" spans="1:4" ht="30">
      <c r="A23" s="16" t="s">
        <v>585</v>
      </c>
      <c r="B23" s="260"/>
      <c r="C23" s="305">
        <v>13125</v>
      </c>
      <c r="D23" s="57"/>
    </row>
    <row r="24" spans="1:4" ht="15.75">
      <c r="A24" s="12" t="s">
        <v>586</v>
      </c>
      <c r="B24" s="260"/>
      <c r="C24" s="305">
        <v>17115</v>
      </c>
      <c r="D24" s="57"/>
    </row>
    <row r="25" spans="1:4" ht="15.75">
      <c r="A25" s="44" t="s">
        <v>415</v>
      </c>
      <c r="B25" s="260"/>
      <c r="C25" s="261">
        <v>35393</v>
      </c>
      <c r="D25" s="304"/>
    </row>
    <row r="26" spans="1:4" ht="15.75">
      <c r="A26" s="15" t="s">
        <v>587</v>
      </c>
      <c r="B26" s="260"/>
      <c r="C26" s="261">
        <v>9000</v>
      </c>
      <c r="D26" s="304"/>
    </row>
    <row r="27" spans="1:4" ht="15.75">
      <c r="A27" s="16" t="s">
        <v>588</v>
      </c>
      <c r="B27" s="260"/>
      <c r="C27" s="261">
        <v>3160</v>
      </c>
      <c r="D27" s="304"/>
    </row>
    <row r="28" spans="1:4" ht="30">
      <c r="A28" s="15" t="s">
        <v>589</v>
      </c>
      <c r="B28" s="14"/>
      <c r="C28" s="261">
        <v>6098</v>
      </c>
      <c r="D28" s="57"/>
    </row>
    <row r="29" spans="1:4" ht="75">
      <c r="A29" s="16" t="s">
        <v>590</v>
      </c>
      <c r="B29" s="261"/>
      <c r="C29" s="261">
        <v>3749</v>
      </c>
      <c r="D29" s="57"/>
    </row>
    <row r="30" spans="1:4" ht="30">
      <c r="A30" s="15" t="s">
        <v>591</v>
      </c>
      <c r="B30" s="14"/>
      <c r="C30" s="261">
        <v>273700</v>
      </c>
      <c r="D30" s="57"/>
    </row>
    <row r="31" spans="1:4" ht="15.75">
      <c r="A31" s="15" t="s">
        <v>592</v>
      </c>
      <c r="B31" s="261"/>
      <c r="C31" s="261">
        <v>79960</v>
      </c>
      <c r="D31" s="57"/>
    </row>
    <row r="32" spans="1:4" ht="31.5">
      <c r="A32" s="295" t="s">
        <v>593</v>
      </c>
      <c r="B32" s="261"/>
      <c r="C32" s="261">
        <v>200</v>
      </c>
      <c r="D32" s="57"/>
    </row>
    <row r="33" spans="1:4" ht="15.75">
      <c r="A33" s="306" t="s">
        <v>594</v>
      </c>
      <c r="B33" s="261"/>
      <c r="C33" s="261">
        <v>8348</v>
      </c>
      <c r="D33" s="304"/>
    </row>
    <row r="34" spans="1:4" ht="15.75">
      <c r="A34" s="307" t="s">
        <v>595</v>
      </c>
      <c r="B34" s="13"/>
      <c r="C34" s="308">
        <f>SUM(C6:C33)</f>
        <v>10118070</v>
      </c>
      <c r="D34" s="309"/>
    </row>
    <row r="35" spans="1:4" ht="12.75">
      <c r="A35" s="296"/>
      <c r="B35" s="10"/>
      <c r="C35" s="301"/>
      <c r="D35" s="297"/>
    </row>
    <row r="36" spans="1:4" ht="18.75">
      <c r="A36" s="359" t="s">
        <v>278</v>
      </c>
      <c r="B36" s="359"/>
      <c r="C36" s="359"/>
      <c r="D36" s="274"/>
    </row>
    <row r="37" spans="1:4" ht="18.75">
      <c r="A37" s="310" t="s">
        <v>596</v>
      </c>
      <c r="B37" s="10"/>
      <c r="C37" s="300" t="s">
        <v>275</v>
      </c>
      <c r="D37" s="301"/>
    </row>
    <row r="38" spans="1:4" ht="30">
      <c r="A38" s="15" t="s">
        <v>560</v>
      </c>
      <c r="B38" s="260"/>
      <c r="C38" s="263">
        <v>2548821</v>
      </c>
      <c r="D38" s="301"/>
    </row>
    <row r="39" spans="1:4" ht="15.75">
      <c r="A39" s="15" t="s">
        <v>597</v>
      </c>
      <c r="B39" s="260"/>
      <c r="C39" s="263">
        <v>39200</v>
      </c>
      <c r="D39" s="301"/>
    </row>
    <row r="40" spans="1:4" ht="60">
      <c r="A40" s="15" t="s">
        <v>398</v>
      </c>
      <c r="B40" s="260"/>
      <c r="C40" s="352">
        <v>1219680</v>
      </c>
      <c r="D40" s="301"/>
    </row>
    <row r="41" spans="1:4" ht="45">
      <c r="A41" s="15" t="s">
        <v>598</v>
      </c>
      <c r="B41" s="260"/>
      <c r="C41" s="263">
        <f>819941+8397</f>
        <v>828338</v>
      </c>
      <c r="D41" s="301"/>
    </row>
    <row r="42" spans="1:4" ht="45">
      <c r="A42" s="15" t="s">
        <v>599</v>
      </c>
      <c r="B42" s="260"/>
      <c r="C42" s="263">
        <v>16651</v>
      </c>
      <c r="D42" s="301"/>
    </row>
    <row r="43" spans="1:4" ht="45">
      <c r="A43" s="15" t="s">
        <v>600</v>
      </c>
      <c r="B43" s="260"/>
      <c r="C43" s="263">
        <v>43996</v>
      </c>
      <c r="D43" s="301"/>
    </row>
    <row r="44" spans="1:4" ht="30">
      <c r="A44" s="15" t="s">
        <v>601</v>
      </c>
      <c r="B44" s="260"/>
      <c r="C44" s="263">
        <v>264965</v>
      </c>
      <c r="D44" s="301"/>
    </row>
    <row r="45" spans="1:4" ht="30">
      <c r="A45" s="311" t="s">
        <v>602</v>
      </c>
      <c r="B45" s="260"/>
      <c r="C45" s="263">
        <v>34630</v>
      </c>
      <c r="D45" s="301"/>
    </row>
    <row r="46" spans="1:4" ht="15.75">
      <c r="A46" s="311" t="s">
        <v>603</v>
      </c>
      <c r="B46" s="260"/>
      <c r="C46" s="263">
        <v>25115</v>
      </c>
      <c r="D46" s="301"/>
    </row>
    <row r="47" spans="1:4" ht="30">
      <c r="A47" s="16" t="s">
        <v>442</v>
      </c>
      <c r="B47" s="260"/>
      <c r="C47" s="261">
        <v>107318</v>
      </c>
      <c r="D47" s="297"/>
    </row>
    <row r="48" spans="1:4" ht="30">
      <c r="A48" s="16" t="s">
        <v>372</v>
      </c>
      <c r="B48" s="260"/>
      <c r="C48" s="261">
        <v>58932</v>
      </c>
      <c r="D48" s="297"/>
    </row>
    <row r="49" spans="1:4" ht="30">
      <c r="A49" s="15" t="s">
        <v>562</v>
      </c>
      <c r="B49" s="14"/>
      <c r="C49" s="261">
        <v>376162</v>
      </c>
      <c r="D49" s="304"/>
    </row>
    <row r="50" spans="1:4" ht="31.5">
      <c r="A50" s="283" t="s">
        <v>604</v>
      </c>
      <c r="B50" s="14"/>
      <c r="C50" s="261">
        <v>128810</v>
      </c>
      <c r="D50" s="304"/>
    </row>
    <row r="51" spans="1:4" ht="45">
      <c r="A51" s="54" t="s">
        <v>377</v>
      </c>
      <c r="B51" s="14"/>
      <c r="C51" s="261">
        <v>7245</v>
      </c>
      <c r="D51" s="304"/>
    </row>
    <row r="52" spans="1:4" ht="30">
      <c r="A52" s="54" t="s">
        <v>428</v>
      </c>
      <c r="B52" s="14"/>
      <c r="C52" s="261">
        <v>2981</v>
      </c>
      <c r="D52" s="304"/>
    </row>
    <row r="53" spans="1:4" ht="30">
      <c r="A53" s="44" t="s">
        <v>350</v>
      </c>
      <c r="B53" s="14"/>
      <c r="C53" s="261">
        <v>27663</v>
      </c>
      <c r="D53" s="304"/>
    </row>
    <row r="54" spans="1:4" ht="30">
      <c r="A54" s="54" t="s">
        <v>375</v>
      </c>
      <c r="B54" s="14"/>
      <c r="C54" s="261">
        <v>183582</v>
      </c>
      <c r="D54" s="304"/>
    </row>
    <row r="55" spans="1:4" ht="31.5">
      <c r="A55" s="283" t="s">
        <v>605</v>
      </c>
      <c r="B55" s="14"/>
      <c r="C55" s="261">
        <v>5587</v>
      </c>
      <c r="D55" s="304"/>
    </row>
    <row r="56" spans="1:4" ht="31.5">
      <c r="A56" s="283" t="s">
        <v>606</v>
      </c>
      <c r="B56" s="14"/>
      <c r="C56" s="261">
        <v>6381</v>
      </c>
      <c r="D56" s="304"/>
    </row>
    <row r="57" spans="1:4" ht="47.25">
      <c r="A57" s="283" t="s">
        <v>421</v>
      </c>
      <c r="B57" s="14"/>
      <c r="C57" s="261">
        <v>3957</v>
      </c>
      <c r="D57" s="304"/>
    </row>
    <row r="58" spans="1:4" ht="31.5">
      <c r="A58" s="283" t="s">
        <v>423</v>
      </c>
      <c r="B58" s="14"/>
      <c r="C58" s="261">
        <v>4718</v>
      </c>
      <c r="D58" s="304"/>
    </row>
    <row r="59" spans="1:4" ht="47.25">
      <c r="A59" s="283" t="s">
        <v>438</v>
      </c>
      <c r="B59" s="14"/>
      <c r="C59" s="261">
        <v>7200</v>
      </c>
      <c r="D59" s="304"/>
    </row>
    <row r="60" spans="1:4" ht="63">
      <c r="A60" s="283" t="s">
        <v>607</v>
      </c>
      <c r="B60" s="14"/>
      <c r="C60" s="261">
        <v>1800</v>
      </c>
      <c r="D60" s="304"/>
    </row>
    <row r="61" spans="1:4" ht="47.25">
      <c r="A61" s="283" t="s">
        <v>608</v>
      </c>
      <c r="B61" s="14"/>
      <c r="C61" s="261">
        <v>1692</v>
      </c>
      <c r="D61" s="304"/>
    </row>
    <row r="62" spans="1:4" ht="15.75">
      <c r="A62" s="312" t="s">
        <v>595</v>
      </c>
      <c r="B62" s="14"/>
      <c r="C62" s="313">
        <f>SUM(C38:C61)</f>
        <v>5945424</v>
      </c>
      <c r="D62" s="304"/>
    </row>
    <row r="63" spans="1:4" ht="15.75">
      <c r="A63" s="314"/>
      <c r="B63" s="315"/>
      <c r="C63" s="316"/>
      <c r="D63" s="317"/>
    </row>
    <row r="64" spans="1:4" ht="18.75">
      <c r="A64" s="360" t="s">
        <v>609</v>
      </c>
      <c r="B64" s="360"/>
      <c r="C64" s="360"/>
      <c r="D64" s="317"/>
    </row>
    <row r="65" spans="1:4" ht="18.75">
      <c r="A65" s="318"/>
      <c r="B65" s="318"/>
      <c r="C65" s="300" t="s">
        <v>275</v>
      </c>
      <c r="D65" s="317"/>
    </row>
    <row r="66" spans="1:4" ht="15.75">
      <c r="A66" s="15" t="s">
        <v>610</v>
      </c>
      <c r="B66" s="260"/>
      <c r="C66" s="262">
        <v>4899058</v>
      </c>
      <c r="D66" s="317"/>
    </row>
    <row r="67" spans="1:4" ht="30">
      <c r="A67" s="15" t="s">
        <v>611</v>
      </c>
      <c r="B67" s="260"/>
      <c r="C67" s="262">
        <v>70431</v>
      </c>
      <c r="D67" s="317"/>
    </row>
    <row r="68" spans="1:4" ht="15.75">
      <c r="A68" s="312" t="s">
        <v>595</v>
      </c>
      <c r="B68" s="260"/>
      <c r="C68" s="308">
        <f>SUM(C66:C67)</f>
        <v>4969489</v>
      </c>
      <c r="D68" s="317"/>
    </row>
    <row r="69" spans="1:4" ht="15.75">
      <c r="A69" s="314"/>
      <c r="B69" s="315"/>
      <c r="C69" s="316"/>
      <c r="D69" s="317"/>
    </row>
    <row r="70" spans="1:4" ht="15.75">
      <c r="A70" s="295" t="s">
        <v>281</v>
      </c>
      <c r="B70" s="275"/>
      <c r="C70" s="284" t="s">
        <v>20</v>
      </c>
      <c r="D70" s="27"/>
    </row>
  </sheetData>
  <sheetProtection/>
  <mergeCells count="3">
    <mergeCell ref="A4:C4"/>
    <mergeCell ref="A36:C36"/>
    <mergeCell ref="A64:C6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19.8515625" style="0" customWidth="1"/>
    <col min="2" max="2" width="9.8515625" style="0" customWidth="1"/>
    <col min="3" max="3" width="11.57421875" style="0" customWidth="1"/>
    <col min="4" max="4" width="10.57421875" style="0" customWidth="1"/>
    <col min="5" max="5" width="10.00390625" style="0" customWidth="1"/>
    <col min="6" max="6" width="10.28125" style="0" customWidth="1"/>
    <col min="7" max="7" width="10.7109375" style="0" customWidth="1"/>
    <col min="8" max="8" width="10.28125" style="0" customWidth="1"/>
    <col min="9" max="9" width="11.140625" style="0" customWidth="1"/>
    <col min="10" max="12" width="11.28125" style="0" customWidth="1"/>
    <col min="13" max="14" width="11.421875" style="0" customWidth="1"/>
    <col min="15" max="15" width="10.7109375" style="0" customWidth="1"/>
  </cols>
  <sheetData>
    <row r="1" spans="1:12" ht="15">
      <c r="A1" s="1"/>
      <c r="B1" s="1"/>
      <c r="C1" s="1"/>
      <c r="D1" s="1"/>
      <c r="E1" s="1"/>
      <c r="F1" s="238"/>
      <c r="G1" s="238"/>
      <c r="H1" s="48"/>
      <c r="I1" s="1"/>
      <c r="J1" s="353" t="s">
        <v>612</v>
      </c>
      <c r="L1" s="1"/>
    </row>
    <row r="2" spans="1:12" ht="15">
      <c r="A2" s="1"/>
      <c r="B2" s="1"/>
      <c r="C2" s="1"/>
      <c r="D2" s="1"/>
      <c r="E2" s="1"/>
      <c r="F2" s="240"/>
      <c r="G2" s="240"/>
      <c r="H2" s="48"/>
      <c r="I2" s="1"/>
      <c r="J2" s="46" t="s">
        <v>628</v>
      </c>
      <c r="L2" s="1"/>
    </row>
    <row r="3" spans="1:12" ht="15">
      <c r="A3" s="1"/>
      <c r="B3" s="1"/>
      <c r="C3" s="1"/>
      <c r="D3" s="1"/>
      <c r="E3" s="1"/>
      <c r="F3" s="240"/>
      <c r="G3" s="240"/>
      <c r="H3" s="48"/>
      <c r="I3" s="1"/>
      <c r="J3" s="46" t="s">
        <v>555</v>
      </c>
      <c r="L3" s="1"/>
    </row>
    <row r="4" spans="1:12" ht="15">
      <c r="A4" s="1"/>
      <c r="B4" s="1"/>
      <c r="C4" s="1"/>
      <c r="D4" s="1"/>
      <c r="E4" s="1"/>
      <c r="F4" s="240"/>
      <c r="G4" s="240"/>
      <c r="H4" s="48"/>
      <c r="I4" s="1"/>
      <c r="J4" s="1"/>
      <c r="K4" s="1"/>
      <c r="L4" s="1"/>
    </row>
    <row r="5" spans="1:12" ht="33" customHeight="1">
      <c r="A5" s="361" t="s">
        <v>613</v>
      </c>
      <c r="B5" s="361"/>
      <c r="C5" s="361"/>
      <c r="D5" s="361"/>
      <c r="E5" s="361"/>
      <c r="F5" s="361"/>
      <c r="G5" s="361"/>
      <c r="H5" s="361"/>
      <c r="I5" s="361"/>
      <c r="J5" s="361"/>
      <c r="K5" s="2"/>
      <c r="L5" s="2"/>
    </row>
    <row r="6" spans="1:12" ht="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6.5" thickBot="1">
      <c r="A7" s="3" t="s">
        <v>614</v>
      </c>
      <c r="B7" s="3"/>
      <c r="C7" s="3"/>
      <c r="D7" s="3"/>
      <c r="E7" s="3"/>
      <c r="F7" s="3"/>
      <c r="G7" s="3"/>
      <c r="H7" s="3"/>
      <c r="I7" s="3"/>
      <c r="J7" s="1"/>
      <c r="K7" s="1"/>
      <c r="L7" s="1"/>
    </row>
    <row r="8" spans="1:15" ht="44.25" customHeight="1" thickBot="1">
      <c r="A8" s="4"/>
      <c r="B8" s="11" t="s">
        <v>127</v>
      </c>
      <c r="C8" s="5" t="s">
        <v>128</v>
      </c>
      <c r="D8" s="11" t="s">
        <v>122</v>
      </c>
      <c r="E8" s="11" t="s">
        <v>268</v>
      </c>
      <c r="F8" s="11" t="s">
        <v>123</v>
      </c>
      <c r="G8" s="319" t="s">
        <v>156</v>
      </c>
      <c r="H8" s="319" t="s">
        <v>158</v>
      </c>
      <c r="I8" s="319" t="s">
        <v>274</v>
      </c>
      <c r="J8" s="319" t="s">
        <v>615</v>
      </c>
      <c r="K8" s="320" t="s">
        <v>124</v>
      </c>
      <c r="L8" s="321"/>
      <c r="M8" s="321"/>
      <c r="N8" s="1"/>
      <c r="O8" s="322"/>
    </row>
    <row r="9" spans="1:15" ht="15.75" thickBot="1">
      <c r="A9" s="24" t="s">
        <v>125</v>
      </c>
      <c r="B9" s="323">
        <f>1922684+3983</f>
        <v>1926667</v>
      </c>
      <c r="C9" s="324">
        <f>871956+2646</f>
        <v>874602</v>
      </c>
      <c r="D9" s="325">
        <f>845883+2048</f>
        <v>847931</v>
      </c>
      <c r="E9" s="324">
        <f>941762+500</f>
        <v>942262</v>
      </c>
      <c r="F9" s="326">
        <f>287026+404</f>
        <v>287430</v>
      </c>
      <c r="G9" s="327">
        <f>219044+119072+816</f>
        <v>338932</v>
      </c>
      <c r="H9" s="327">
        <f>227670+151730+1262</f>
        <v>380662</v>
      </c>
      <c r="I9" s="327">
        <f>95202+54783+787</f>
        <v>150772</v>
      </c>
      <c r="J9" s="327">
        <f>71441+32879+382</f>
        <v>104702</v>
      </c>
      <c r="K9" s="328">
        <f>SUM(B9:J9)</f>
        <v>5853960</v>
      </c>
      <c r="L9" s="266"/>
      <c r="M9" s="266"/>
      <c r="N9" s="1"/>
      <c r="O9" s="329"/>
    </row>
    <row r="10" spans="1:15" ht="15">
      <c r="A10" s="330"/>
      <c r="B10" s="58"/>
      <c r="C10" s="58"/>
      <c r="D10" s="58"/>
      <c r="E10" s="58"/>
      <c r="F10" s="58"/>
      <c r="G10" s="331"/>
      <c r="H10" s="331"/>
      <c r="I10" s="331"/>
      <c r="J10" s="331"/>
      <c r="K10" s="332"/>
      <c r="L10" s="266"/>
      <c r="M10" s="266"/>
      <c r="N10" s="1"/>
      <c r="O10" s="329"/>
    </row>
    <row r="11" spans="1:13" ht="16.5" thickBot="1">
      <c r="A11" s="3" t="s">
        <v>616</v>
      </c>
      <c r="B11" s="3"/>
      <c r="C11" s="3"/>
      <c r="D11" s="3"/>
      <c r="E11" s="3"/>
      <c r="F11" s="3"/>
      <c r="G11" s="19"/>
      <c r="H11" s="19"/>
      <c r="I11" s="19"/>
      <c r="J11" s="1"/>
      <c r="K11" s="1"/>
      <c r="L11" s="1"/>
      <c r="M11" s="6"/>
    </row>
    <row r="12" spans="1:15" ht="54.75" customHeight="1" thickBot="1">
      <c r="A12" s="4" t="s">
        <v>9</v>
      </c>
      <c r="B12" s="5" t="s">
        <v>297</v>
      </c>
      <c r="C12" s="5" t="s">
        <v>298</v>
      </c>
      <c r="D12" s="5" t="s">
        <v>299</v>
      </c>
      <c r="E12" s="5" t="s">
        <v>300</v>
      </c>
      <c r="F12" s="5" t="s">
        <v>301</v>
      </c>
      <c r="G12" s="5" t="s">
        <v>302</v>
      </c>
      <c r="H12" s="20" t="s">
        <v>303</v>
      </c>
      <c r="I12" s="319" t="s">
        <v>615</v>
      </c>
      <c r="J12" s="319" t="s">
        <v>617</v>
      </c>
      <c r="K12" s="319" t="s">
        <v>618</v>
      </c>
      <c r="L12" s="319" t="s">
        <v>619</v>
      </c>
      <c r="M12" s="319" t="s">
        <v>620</v>
      </c>
      <c r="N12" s="333" t="s">
        <v>304</v>
      </c>
      <c r="O12" s="6"/>
    </row>
    <row r="13" spans="1:15" ht="15.75" thickBot="1">
      <c r="A13" s="334" t="s">
        <v>125</v>
      </c>
      <c r="B13" s="323">
        <v>140386</v>
      </c>
      <c r="C13" s="323">
        <v>93804</v>
      </c>
      <c r="D13" s="323">
        <v>128036</v>
      </c>
      <c r="E13" s="323">
        <v>122940</v>
      </c>
      <c r="F13" s="323">
        <v>48064</v>
      </c>
      <c r="G13" s="323">
        <v>107643</v>
      </c>
      <c r="H13" s="324">
        <v>45249</v>
      </c>
      <c r="I13" s="335">
        <f>11240+7053</f>
        <v>18293</v>
      </c>
      <c r="J13" s="335">
        <f>29352+16643</f>
        <v>45995</v>
      </c>
      <c r="K13" s="336">
        <v>5616</v>
      </c>
      <c r="L13" s="335">
        <f>26696+17760</f>
        <v>44456</v>
      </c>
      <c r="M13" s="335">
        <f>9128+5567</f>
        <v>14695</v>
      </c>
      <c r="N13" s="337">
        <f>SUM(B13:M13)</f>
        <v>815177</v>
      </c>
      <c r="O13" s="6"/>
    </row>
    <row r="14" spans="1:15" ht="15">
      <c r="A14" s="330"/>
      <c r="B14" s="58"/>
      <c r="C14" s="58"/>
      <c r="D14" s="58"/>
      <c r="E14" s="58"/>
      <c r="F14" s="58"/>
      <c r="G14" s="58"/>
      <c r="H14" s="58"/>
      <c r="I14" s="331"/>
      <c r="J14" s="331"/>
      <c r="K14" s="331"/>
      <c r="L14" s="331"/>
      <c r="M14" s="331"/>
      <c r="N14" s="338"/>
      <c r="O14" s="6"/>
    </row>
    <row r="15" spans="1:12" ht="16.5" thickBot="1">
      <c r="A15" s="3" t="s">
        <v>621</v>
      </c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</row>
    <row r="16" spans="1:16" ht="52.5" thickBot="1">
      <c r="A16" s="4"/>
      <c r="B16" s="21" t="s">
        <v>305</v>
      </c>
      <c r="C16" s="21" t="s">
        <v>306</v>
      </c>
      <c r="D16" s="22" t="s">
        <v>122</v>
      </c>
      <c r="E16" s="11" t="s">
        <v>268</v>
      </c>
      <c r="F16" s="23" t="s">
        <v>123</v>
      </c>
      <c r="G16" s="319" t="s">
        <v>156</v>
      </c>
      <c r="H16" s="319" t="s">
        <v>158</v>
      </c>
      <c r="I16" s="319" t="s">
        <v>274</v>
      </c>
      <c r="J16" s="319" t="s">
        <v>615</v>
      </c>
      <c r="K16" s="5" t="s">
        <v>299</v>
      </c>
      <c r="L16" s="23" t="s">
        <v>8</v>
      </c>
      <c r="M16" s="319" t="s">
        <v>513</v>
      </c>
      <c r="N16" s="319" t="s">
        <v>622</v>
      </c>
      <c r="O16" s="333" t="s">
        <v>124</v>
      </c>
      <c r="P16" s="339"/>
    </row>
    <row r="17" spans="1:15" ht="15.75" thickBot="1">
      <c r="A17" s="24" t="s">
        <v>125</v>
      </c>
      <c r="B17" s="323">
        <v>49921</v>
      </c>
      <c r="C17" s="323">
        <v>42219</v>
      </c>
      <c r="D17" s="323">
        <v>78330</v>
      </c>
      <c r="E17" s="323">
        <v>33404</v>
      </c>
      <c r="F17" s="324">
        <v>14564</v>
      </c>
      <c r="G17" s="335">
        <f>17174+10172</f>
        <v>27346</v>
      </c>
      <c r="H17" s="335">
        <f>18276+7185</f>
        <v>25461</v>
      </c>
      <c r="I17" s="335">
        <f>9729+4359</f>
        <v>14088</v>
      </c>
      <c r="J17" s="335">
        <f>5212+2876</f>
        <v>8088</v>
      </c>
      <c r="K17" s="335">
        <v>8637</v>
      </c>
      <c r="L17" s="335">
        <v>15500</v>
      </c>
      <c r="M17" s="335">
        <v>6136</v>
      </c>
      <c r="N17" s="336">
        <v>5490</v>
      </c>
      <c r="O17" s="340">
        <f>SUM(B17:N17)</f>
        <v>329184</v>
      </c>
    </row>
    <row r="18" spans="1:13" ht="15">
      <c r="A18" s="330"/>
      <c r="B18" s="58"/>
      <c r="C18" s="58"/>
      <c r="D18" s="58"/>
      <c r="E18" s="58"/>
      <c r="F18" s="58"/>
      <c r="G18" s="331"/>
      <c r="H18" s="331"/>
      <c r="I18" s="331"/>
      <c r="J18" s="331"/>
      <c r="K18" s="331"/>
      <c r="L18" s="331"/>
      <c r="M18" s="332"/>
    </row>
    <row r="19" spans="1:14" ht="16.5" thickBot="1">
      <c r="A19" s="362" t="s">
        <v>623</v>
      </c>
      <c r="B19" s="362"/>
      <c r="C19" s="362"/>
      <c r="D19" s="362"/>
      <c r="E19" s="362"/>
      <c r="F19" s="362"/>
      <c r="G19" s="362"/>
      <c r="H19" s="362"/>
      <c r="I19" s="362"/>
      <c r="J19" s="341"/>
      <c r="K19" s="341"/>
      <c r="L19" s="341"/>
      <c r="M19" s="266"/>
      <c r="N19" s="342"/>
    </row>
    <row r="20" spans="1:15" ht="60.75" customHeight="1" thickBot="1">
      <c r="A20" s="4" t="s">
        <v>9</v>
      </c>
      <c r="B20" s="319" t="s">
        <v>299</v>
      </c>
      <c r="C20" s="343" t="s">
        <v>624</v>
      </c>
      <c r="D20" s="333" t="s">
        <v>124</v>
      </c>
      <c r="E20" s="341"/>
      <c r="F20" s="341"/>
      <c r="G20" s="341"/>
      <c r="H20" s="341"/>
      <c r="I20" s="341"/>
      <c r="J20" s="341"/>
      <c r="K20" s="341"/>
      <c r="L20" s="341"/>
      <c r="M20" s="341"/>
      <c r="N20" s="266"/>
      <c r="O20" s="342"/>
    </row>
    <row r="21" spans="1:15" ht="15.75" thickBot="1">
      <c r="A21" s="334" t="s">
        <v>625</v>
      </c>
      <c r="B21" s="323">
        <v>3640</v>
      </c>
      <c r="C21" s="344">
        <v>336236</v>
      </c>
      <c r="D21" s="345">
        <f>SUM(B21:C21)</f>
        <v>339876</v>
      </c>
      <c r="E21" s="341"/>
      <c r="F21" s="341"/>
      <c r="G21" s="341"/>
      <c r="H21" s="341"/>
      <c r="I21" s="341"/>
      <c r="J21" s="341"/>
      <c r="K21" s="341"/>
      <c r="L21" s="341"/>
      <c r="M21" s="341"/>
      <c r="N21" s="266"/>
      <c r="O21" s="342"/>
    </row>
    <row r="22" spans="1:15" ht="15">
      <c r="A22" s="330"/>
      <c r="B22" s="58"/>
      <c r="C22" s="346"/>
      <c r="D22" s="347"/>
      <c r="E22" s="341"/>
      <c r="F22" s="341"/>
      <c r="G22" s="341"/>
      <c r="H22" s="341"/>
      <c r="I22" s="341"/>
      <c r="J22" s="341"/>
      <c r="K22" s="341"/>
      <c r="L22" s="341"/>
      <c r="M22" s="341"/>
      <c r="N22" s="266"/>
      <c r="O22" s="342"/>
    </row>
    <row r="23" spans="1:12" ht="16.5" thickBot="1">
      <c r="A23" s="3" t="s">
        <v>626</v>
      </c>
      <c r="B23" s="3"/>
      <c r="C23" s="3"/>
      <c r="D23" s="3"/>
      <c r="E23" s="3"/>
      <c r="F23" s="3"/>
      <c r="G23" s="3"/>
      <c r="H23" s="3"/>
      <c r="I23" s="3"/>
      <c r="J23" s="1"/>
      <c r="K23" s="1"/>
      <c r="L23" s="1"/>
    </row>
    <row r="24" spans="1:14" ht="68.25" customHeight="1" thickBot="1">
      <c r="A24" s="4"/>
      <c r="B24" s="23" t="s">
        <v>8</v>
      </c>
      <c r="C24" s="23" t="s">
        <v>126</v>
      </c>
      <c r="D24" s="23" t="s">
        <v>307</v>
      </c>
      <c r="E24" s="23" t="s">
        <v>114</v>
      </c>
      <c r="F24" s="319" t="s">
        <v>159</v>
      </c>
      <c r="G24" s="319" t="s">
        <v>513</v>
      </c>
      <c r="H24" s="333" t="s">
        <v>124</v>
      </c>
      <c r="I24" s="1"/>
      <c r="J24" s="1"/>
      <c r="K24" s="1"/>
      <c r="L24" s="1"/>
      <c r="M24" s="1"/>
      <c r="N24" s="1"/>
    </row>
    <row r="25" spans="1:14" ht="16.5" thickBot="1">
      <c r="A25" s="24" t="s">
        <v>627</v>
      </c>
      <c r="B25" s="348">
        <v>203391</v>
      </c>
      <c r="C25" s="348">
        <v>123058</v>
      </c>
      <c r="D25" s="349">
        <f>402009-134000</f>
        <v>268009</v>
      </c>
      <c r="E25" s="350">
        <f>102999-39900</f>
        <v>63099</v>
      </c>
      <c r="F25" s="348">
        <f>71586+1277</f>
        <v>72863</v>
      </c>
      <c r="G25" s="351">
        <f>173900+8758</f>
        <v>182658</v>
      </c>
      <c r="H25" s="340">
        <f>SUM(B25:G25)</f>
        <v>913078</v>
      </c>
      <c r="I25" s="1"/>
      <c r="J25" s="1"/>
      <c r="K25" s="1"/>
      <c r="L25" s="1"/>
      <c r="M25" s="1"/>
      <c r="N25" s="1"/>
    </row>
    <row r="26" spans="1:12" ht="15">
      <c r="A26" s="330"/>
      <c r="B26" s="341"/>
      <c r="C26" s="341"/>
      <c r="D26" s="341"/>
      <c r="E26" s="341"/>
      <c r="F26" s="266"/>
      <c r="G26" s="1"/>
      <c r="H26" s="1"/>
      <c r="I26" s="1"/>
      <c r="J26" s="1"/>
      <c r="K26" s="1"/>
      <c r="L26" s="1"/>
    </row>
    <row r="27" spans="1:12" ht="15">
      <c r="A27" s="330"/>
      <c r="B27" s="341"/>
      <c r="C27" s="341"/>
      <c r="D27" s="341"/>
      <c r="E27" s="341"/>
      <c r="F27" s="266"/>
      <c r="G27" s="1"/>
      <c r="H27" s="1"/>
      <c r="I27" s="1"/>
      <c r="J27" s="1"/>
      <c r="K27" s="1"/>
      <c r="L27" s="1"/>
    </row>
    <row r="28" spans="1:12" ht="12.75">
      <c r="A28" s="330"/>
      <c r="B28" s="1" t="s">
        <v>281</v>
      </c>
      <c r="C28" s="1"/>
      <c r="D28" s="1"/>
      <c r="E28" s="1"/>
      <c r="F28" s="1"/>
      <c r="G28" s="1"/>
      <c r="H28" s="1" t="s">
        <v>20</v>
      </c>
      <c r="I28" s="1"/>
      <c r="J28" s="1"/>
      <c r="K28" s="1"/>
      <c r="L28" s="1"/>
    </row>
  </sheetData>
  <sheetProtection/>
  <mergeCells count="2">
    <mergeCell ref="A5:J5"/>
    <mergeCell ref="A19:I1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Sanda Zemīte</cp:lastModifiedBy>
  <cp:lastPrinted>2020-12-17T12:11:57Z</cp:lastPrinted>
  <dcterms:created xsi:type="dcterms:W3CDTF">2006-04-20T10:34:24Z</dcterms:created>
  <dcterms:modified xsi:type="dcterms:W3CDTF">2020-12-21T08:07:42Z</dcterms:modified>
  <cp:category/>
  <cp:version/>
  <cp:contentType/>
  <cp:contentStatus/>
</cp:coreProperties>
</file>