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Pamatbudžets   " sheetId="1" r:id="rId1"/>
  </sheets>
  <definedNames>
    <definedName name="_xlnm.Print_Titles" localSheetId="0">'Pamatbudžets   '!$7:$7</definedName>
  </definedNames>
  <calcPr fullCalcOnLoad="1"/>
</workbook>
</file>

<file path=xl/sharedStrings.xml><?xml version="1.0" encoding="utf-8"?>
<sst xmlns="http://schemas.openxmlformats.org/spreadsheetml/2006/main" count="582" uniqueCount="546">
  <si>
    <t>Izglītība</t>
  </si>
  <si>
    <t>04.000</t>
  </si>
  <si>
    <t>05.200</t>
  </si>
  <si>
    <t>06.000</t>
  </si>
  <si>
    <t>07.000</t>
  </si>
  <si>
    <t>Kultūra</t>
  </si>
  <si>
    <t>08.000</t>
  </si>
  <si>
    <t>10.000</t>
  </si>
  <si>
    <t>Sporta centrs</t>
  </si>
  <si>
    <t>Kods</t>
  </si>
  <si>
    <t>Pielikums Nr.1</t>
  </si>
  <si>
    <t>4.1.1.0.</t>
  </si>
  <si>
    <t>4.1.2.0.</t>
  </si>
  <si>
    <t>5.4.1.0.</t>
  </si>
  <si>
    <t>Pašvaldību nodevas</t>
  </si>
  <si>
    <t>9.5.0.0.</t>
  </si>
  <si>
    <t>05.000</t>
  </si>
  <si>
    <t>Pabalsts maznodrošinātām ģimenēm</t>
  </si>
  <si>
    <t>Pašvaldības policija</t>
  </si>
  <si>
    <t>Kopā izdevumi:</t>
  </si>
  <si>
    <t>S.Velberga</t>
  </si>
  <si>
    <t>Nodokļu ieņēmumi</t>
  </si>
  <si>
    <t>1.1.1.0.</t>
  </si>
  <si>
    <t>1.1.1.1.</t>
  </si>
  <si>
    <t>1.1.1.2.</t>
  </si>
  <si>
    <t>4.1.0.0.</t>
  </si>
  <si>
    <t>Nekustamā īpašuma nodoklis</t>
  </si>
  <si>
    <t>Nekustamā īpašuma nodoklis par zemi</t>
  </si>
  <si>
    <t xml:space="preserve">Nekustamā īpašuma nodoklis par ēkām </t>
  </si>
  <si>
    <t>Azartspēļu nodoklis</t>
  </si>
  <si>
    <t>Nenodokļu ieņēmumi</t>
  </si>
  <si>
    <t>9.4.0.0.</t>
  </si>
  <si>
    <t>Valsts nodevas, kuras ieskaita pašvaldību budžetā</t>
  </si>
  <si>
    <t>Pārējie nenodokļu ieņēmumi</t>
  </si>
  <si>
    <t>18.0.0.0.</t>
  </si>
  <si>
    <t>Valsts budžeta transferti</t>
  </si>
  <si>
    <t>19.0.0.0.</t>
  </si>
  <si>
    <t>Pašvaldību budžetu transferti</t>
  </si>
  <si>
    <t>19.2.0.0.</t>
  </si>
  <si>
    <t>19.3.0.0.</t>
  </si>
  <si>
    <t>21.0.0.0.</t>
  </si>
  <si>
    <t>Budžeta iestāžu ieņēmumi</t>
  </si>
  <si>
    <t>21.3.0.0.</t>
  </si>
  <si>
    <t>21.3.8.0.</t>
  </si>
  <si>
    <t>Ieņēmumi par nomu un īri</t>
  </si>
  <si>
    <t>21.3.9.0.</t>
  </si>
  <si>
    <t>Ieņēmumi par pārējiem budžeta iestāžu maksas pakalpojumiem</t>
  </si>
  <si>
    <t>KOPĀ IEŅĒMUMI</t>
  </si>
  <si>
    <t>Valsts kases kredīts</t>
  </si>
  <si>
    <t>Kopā ar kredītresursiem:</t>
  </si>
  <si>
    <t>Kopā ar budžeta atlikumu</t>
  </si>
  <si>
    <t>Pielikums Nr.2</t>
  </si>
  <si>
    <t>01.000</t>
  </si>
  <si>
    <t>Vispārējie valdības dienesti</t>
  </si>
  <si>
    <t>01.720</t>
  </si>
  <si>
    <t>Pašvaldību budžetu parāda darījumi</t>
  </si>
  <si>
    <t>01.721</t>
  </si>
  <si>
    <t xml:space="preserve">       Pašvaldību budžetu valsts iekšējā parāda darījumi</t>
  </si>
  <si>
    <t>01.830</t>
  </si>
  <si>
    <t>Vispārēja rakstura transferti no pašvaldību budžeta pašvaldību budžetam</t>
  </si>
  <si>
    <t xml:space="preserve">       Norēķini ar citu pašvaldību izglītības iestādēm</t>
  </si>
  <si>
    <t>01.890</t>
  </si>
  <si>
    <t>03.000</t>
  </si>
  <si>
    <t>Sabiedriskā kārtība un drošība</t>
  </si>
  <si>
    <t>03.600</t>
  </si>
  <si>
    <t>Ekonomiskā darbība</t>
  </si>
  <si>
    <t>04.111</t>
  </si>
  <si>
    <t>Vispārējas ekonomiskas darbības vadība</t>
  </si>
  <si>
    <t>04.210</t>
  </si>
  <si>
    <t>04.220</t>
  </si>
  <si>
    <t>Mežsaimniecība un medniecība</t>
  </si>
  <si>
    <t>04.510</t>
  </si>
  <si>
    <t>Autotransports</t>
  </si>
  <si>
    <t xml:space="preserve">       Ceļu būvniecībai un remontiem</t>
  </si>
  <si>
    <t>04.600</t>
  </si>
  <si>
    <t>Sakari</t>
  </si>
  <si>
    <t>Vides aizsardzība</t>
  </si>
  <si>
    <t>05.100</t>
  </si>
  <si>
    <t>Atkritumu apsaimniekošana</t>
  </si>
  <si>
    <t>Notekūdeņu apsaimniekošana</t>
  </si>
  <si>
    <t>Pašvaldības teritoriju un mājokļu apsaimniekošana</t>
  </si>
  <si>
    <t>06.300</t>
  </si>
  <si>
    <t>Ūdensapgāde</t>
  </si>
  <si>
    <t>06.400</t>
  </si>
  <si>
    <t>Ielu apgaismošana</t>
  </si>
  <si>
    <t>06.600</t>
  </si>
  <si>
    <t>Pārējā citur nekvalificētā pašvaldību teritoriju un mājokļu apsaimniekošanas darbība</t>
  </si>
  <si>
    <t>Veselība</t>
  </si>
  <si>
    <t>07.210</t>
  </si>
  <si>
    <t>Ambulatorās ārstniecības iestādes</t>
  </si>
  <si>
    <t>Atpūta, kultūra un reliģija</t>
  </si>
  <si>
    <t>08.100</t>
  </si>
  <si>
    <t>Atpūtas un sporta  pasākumi</t>
  </si>
  <si>
    <t xml:space="preserve">       Sporta pasākumu rīkošanai</t>
  </si>
  <si>
    <t xml:space="preserve">       Komandas vai individuālu sacensību dalībnieku atbalstam</t>
  </si>
  <si>
    <t>08.200</t>
  </si>
  <si>
    <t>08.230</t>
  </si>
  <si>
    <t>08.290</t>
  </si>
  <si>
    <t>Televīzija</t>
  </si>
  <si>
    <t>Izdevniecība ( Novada informatīvie izdevumi )</t>
  </si>
  <si>
    <t>09.000</t>
  </si>
  <si>
    <t>09.100</t>
  </si>
  <si>
    <t>PII  "Cīrulītis"</t>
  </si>
  <si>
    <t>PII  "Dzīpariņš"</t>
  </si>
  <si>
    <t>PII  "Zelta sietiņš"</t>
  </si>
  <si>
    <t>PII  "Saulīte"</t>
  </si>
  <si>
    <t>PII " Ābelīte"</t>
  </si>
  <si>
    <t>09.211</t>
  </si>
  <si>
    <t>Ogres 1. vidusskola</t>
  </si>
  <si>
    <t>Jaunogres vidusskola</t>
  </si>
  <si>
    <t>Ogresgala pamatskola</t>
  </si>
  <si>
    <t>09.510</t>
  </si>
  <si>
    <t>Interešu un profesionālās ievirzes izglītība</t>
  </si>
  <si>
    <t>Mūzikas skola</t>
  </si>
  <si>
    <t>Mākslas skola</t>
  </si>
  <si>
    <t>09.820</t>
  </si>
  <si>
    <t>Sociālā aizsardzība</t>
  </si>
  <si>
    <t>10.600</t>
  </si>
  <si>
    <t>Mājokļa atbalsts</t>
  </si>
  <si>
    <t>10.700</t>
  </si>
  <si>
    <t>Pārējais citur neklasificēts atbalsts sociāli atstumtām personām</t>
  </si>
  <si>
    <t xml:space="preserve">Sociālais dienests </t>
  </si>
  <si>
    <t>Basketbola skola</t>
  </si>
  <si>
    <t>Nemateriālie ieguldījumi</t>
  </si>
  <si>
    <t>13.0.0.0.</t>
  </si>
  <si>
    <t xml:space="preserve">    Muzeji un izstādes</t>
  </si>
  <si>
    <t xml:space="preserve">    Finansējums PA "Ogres kultūras centrs"</t>
  </si>
  <si>
    <t xml:space="preserve">    Pilsētas dekorēšana svētkiem</t>
  </si>
  <si>
    <t>PII " Strautiņš"</t>
  </si>
  <si>
    <t xml:space="preserve">Pozīcijas nosaukums             </t>
  </si>
  <si>
    <t>Ieņēmumi no iedzīvotāju ienākuma nodokļa</t>
  </si>
  <si>
    <t>Saņemts no VK sadales konta  iepriekšējā gada nesadalītais iedzīvotāju ienākuma nodokļa atlikums</t>
  </si>
  <si>
    <t>Saņemts no VK sadales konta  pārskata gadā ieskaitītais iedzīvotāju ienākuma nodoklis</t>
  </si>
  <si>
    <t>4.0.0.0.</t>
  </si>
  <si>
    <t>Īpašuma nodokļi</t>
  </si>
  <si>
    <t>8.6.0.0.</t>
  </si>
  <si>
    <t>Procentu ieņēmumi par depozītiem, kontu atlikumiem un vērtpapīriem</t>
  </si>
  <si>
    <t>10.1.0.0.</t>
  </si>
  <si>
    <t>Naudas sodi</t>
  </si>
  <si>
    <t>19.1.0.0.</t>
  </si>
  <si>
    <t>21.3.5.0.</t>
  </si>
  <si>
    <t>Maksa par izglītības pakalpojumiem</t>
  </si>
  <si>
    <t>21.3.7.0.</t>
  </si>
  <si>
    <t>Būvvalde</t>
  </si>
  <si>
    <t>Mājokļu attīstība pašvaldībā</t>
  </si>
  <si>
    <t xml:space="preserve">       Ģimenes ārstu prakse </t>
  </si>
  <si>
    <t xml:space="preserve">    Bibliotēkas </t>
  </si>
  <si>
    <t>PII "Riekstiņš"</t>
  </si>
  <si>
    <t>PII "Taurenītis"</t>
  </si>
  <si>
    <t xml:space="preserve">Ķeipenes pamatskola </t>
  </si>
  <si>
    <t>Madlienas vidusskola</t>
  </si>
  <si>
    <t>09.219</t>
  </si>
  <si>
    <t>Suntažu vidusskola</t>
  </si>
  <si>
    <t>Madlienas mūzikas un mākslas skola</t>
  </si>
  <si>
    <t>09.600</t>
  </si>
  <si>
    <t>Izglītības papildu pakalpojumi</t>
  </si>
  <si>
    <t>Atbalsts bezdarba gadījumā</t>
  </si>
  <si>
    <t xml:space="preserve">Sabiedriskās organizācijas </t>
  </si>
  <si>
    <t>Pansionāts "Madliena"</t>
  </si>
  <si>
    <t>F40 32 00 20</t>
  </si>
  <si>
    <t>Preces un pakalpojumi</t>
  </si>
  <si>
    <t>Pakalpojumi</t>
  </si>
  <si>
    <t>Krājumi,materiāli,energoresursi,prece,biroja preces un inventārs, ko neuzskaita  5000. kodā</t>
  </si>
  <si>
    <t>Izdevumi periodikas iegādei</t>
  </si>
  <si>
    <t>Budžeta iestāžu nodokļu maksājumi</t>
  </si>
  <si>
    <t xml:space="preserve">Pārējie procentu maksājumi </t>
  </si>
  <si>
    <t>Pamatlīdzekļi</t>
  </si>
  <si>
    <t xml:space="preserve">Sociālie pabalsti naudā </t>
  </si>
  <si>
    <t>Sociālie pabalsti natūrā</t>
  </si>
  <si>
    <t xml:space="preserve"> IZDEVUMI KOPĀ</t>
  </si>
  <si>
    <t>21.1.0.0.</t>
  </si>
  <si>
    <t xml:space="preserve">Budžeta iestādes ieņēmumi no ārvalstu finanšu palīdzības </t>
  </si>
  <si>
    <t>F56010000</t>
  </si>
  <si>
    <t>Kapitālieguldījumu fondu akcijas</t>
  </si>
  <si>
    <t>Atalgojums</t>
  </si>
  <si>
    <t>Atbalsts ģimenēm ar bērniem (Bāriņtiesas)</t>
  </si>
  <si>
    <t>18.6.0.0.</t>
  </si>
  <si>
    <t>4.1.3.0.</t>
  </si>
  <si>
    <t>Nekustamā īpašuma nodoklis par mājokļiem</t>
  </si>
  <si>
    <t>Pašvaldību saņemtie transferti no valsts budžeta</t>
  </si>
  <si>
    <t>Pašvaldības budžeta iekšējie transferti starp vienas pašvaldības budžeta veidiem</t>
  </si>
  <si>
    <t>Pašvaldību saņemtie transferti no citām pašvaldībām</t>
  </si>
  <si>
    <t>Ieņēmumi no budžeta iestāžu sniegtajiem maksas pakalpojumiem un citi pašu ieņēmumi</t>
  </si>
  <si>
    <t>01.100</t>
  </si>
  <si>
    <t xml:space="preserve">Izpildvaras un likumdošanas varas  institūcijas </t>
  </si>
  <si>
    <t>01.820</t>
  </si>
  <si>
    <t>Vispārēja rakstura transferti no pašvaldību budžeta valsts budžetam</t>
  </si>
  <si>
    <t xml:space="preserve">Izdevumi neparedzētiem gadījumiem </t>
  </si>
  <si>
    <t>03.110</t>
  </si>
  <si>
    <t>Pārējie sabiedriskās kārtības un drošības pakalpojumi (Video novērošanai Ogrē)</t>
  </si>
  <si>
    <t>04.11101</t>
  </si>
  <si>
    <t>Uzņēmējdarbības  attīstības veicināšanai</t>
  </si>
  <si>
    <t xml:space="preserve">Lauksaimniecība </t>
  </si>
  <si>
    <t>04.51004</t>
  </si>
  <si>
    <t>Pārējais autotransports</t>
  </si>
  <si>
    <t>04.6001</t>
  </si>
  <si>
    <t>05.1001</t>
  </si>
  <si>
    <t>05.2001</t>
  </si>
  <si>
    <t>05.2002</t>
  </si>
  <si>
    <t>05.300</t>
  </si>
  <si>
    <t>Vides piesārņojuma novēršana un samazināšana</t>
  </si>
  <si>
    <t>05.400</t>
  </si>
  <si>
    <t>Bioloģiskās daudzveidības un ainavas aizsardzība</t>
  </si>
  <si>
    <t>Teritoriju attīstība ( projektēšanai )</t>
  </si>
  <si>
    <t>06.60001</t>
  </si>
  <si>
    <t>06.60002</t>
  </si>
  <si>
    <t>06.60003</t>
  </si>
  <si>
    <t>06.60006</t>
  </si>
  <si>
    <t>06.60007</t>
  </si>
  <si>
    <t>06.60008</t>
  </si>
  <si>
    <t>06.60009</t>
  </si>
  <si>
    <t>06.60010</t>
  </si>
  <si>
    <t>08.1001</t>
  </si>
  <si>
    <t>08.1002</t>
  </si>
  <si>
    <t>08.2202</t>
  </si>
  <si>
    <t>Pārējā citur neklasificētā kultūra</t>
  </si>
  <si>
    <t>08.29001</t>
  </si>
  <si>
    <t>08.29002</t>
  </si>
  <si>
    <t xml:space="preserve">Pirmsskolas izglītība </t>
  </si>
  <si>
    <t>09.10002</t>
  </si>
  <si>
    <t>09.10003</t>
  </si>
  <si>
    <t>09.10004</t>
  </si>
  <si>
    <t>09.10005</t>
  </si>
  <si>
    <t>09.10006</t>
  </si>
  <si>
    <t>09.10007</t>
  </si>
  <si>
    <t>09.10008</t>
  </si>
  <si>
    <t>09.10009</t>
  </si>
  <si>
    <t>09.10010</t>
  </si>
  <si>
    <t>Sākumskolas (ISCED-97 1. līmenis)</t>
  </si>
  <si>
    <t>Vispārējās izglītības mācību iestāžu izdevumi (ISCED-97 1.- 3. līmenis)</t>
  </si>
  <si>
    <t>09.21901</t>
  </si>
  <si>
    <t>09.21902</t>
  </si>
  <si>
    <t>Ogres ģimnāzija</t>
  </si>
  <si>
    <t>09.21903</t>
  </si>
  <si>
    <t>09.21904</t>
  </si>
  <si>
    <t>09.21905</t>
  </si>
  <si>
    <t>09.21906</t>
  </si>
  <si>
    <t>09.21907</t>
  </si>
  <si>
    <t>09.21908</t>
  </si>
  <si>
    <t>09.21910</t>
  </si>
  <si>
    <t>09.5101</t>
  </si>
  <si>
    <t>09.5102</t>
  </si>
  <si>
    <t>09.5103</t>
  </si>
  <si>
    <t>09.5104</t>
  </si>
  <si>
    <t>09.5106</t>
  </si>
  <si>
    <t>Pārējā citur neklasificētā izglītība (izglītības projektu realizācija)</t>
  </si>
  <si>
    <t>09.82007</t>
  </si>
  <si>
    <t>09.82008</t>
  </si>
  <si>
    <t>10.70001</t>
  </si>
  <si>
    <t>10.70002</t>
  </si>
  <si>
    <t>10.70005</t>
  </si>
  <si>
    <t>10.70010</t>
  </si>
  <si>
    <t>01.830    7230</t>
  </si>
  <si>
    <t>Pašvaldību  uzturēšanas izdevumu transferti padotības iestādēm</t>
  </si>
  <si>
    <t>Darba devēja valsts sociālās apdrošināšanas obligātās iemaksas, sociālā rakstura pabalsti un kompensācijas</t>
  </si>
  <si>
    <t>Pakalpojumi, kurus budžeta iestādes apmaksā noteikto funkciju ietvaros, kas nav iestādes administratīvie izdevumi</t>
  </si>
  <si>
    <t>Subsīdijas un dotācijas komersantiem, biedrībām un nodibinājumiem</t>
  </si>
  <si>
    <t>Pārējie maksājumi iedzīvotājiem natūrā un kompensācijas</t>
  </si>
  <si>
    <t>Pašvaldību uzturēšanas izdevumu transferti</t>
  </si>
  <si>
    <t>06.100</t>
  </si>
  <si>
    <t>Dabas resursu nodoklis</t>
  </si>
  <si>
    <t>03.200</t>
  </si>
  <si>
    <t xml:space="preserve">          Vēstures un mākslas muzejs</t>
  </si>
  <si>
    <t>Ugunsdrošības, glābšanas un civilās drošības dienesti</t>
  </si>
  <si>
    <t>Ieņēmumi no pašvaldības īpašuma iznomāšanas, pārdošanas un nodokļu pamatp.kapitaliz.</t>
  </si>
  <si>
    <t>Publisko interneta pieejas punktu attīstība</t>
  </si>
  <si>
    <t>Taurupes pamatskola</t>
  </si>
  <si>
    <t>Pašvaldību saņemtie transferti no valsts budžeta daļēji finansētām atvasinātām publiskām personām un no budžeta nefinansētām iestādēm</t>
  </si>
  <si>
    <t>17.2.0.0.</t>
  </si>
  <si>
    <t xml:space="preserve">       Norēķini ar citu pašvaldību sociālo pakalpojumu iestādēm</t>
  </si>
  <si>
    <t>08.29011</t>
  </si>
  <si>
    <t>Budžeta nodaļas vadītāja</t>
  </si>
  <si>
    <t>F20010000 AS</t>
  </si>
  <si>
    <t>F20010000 AB</t>
  </si>
  <si>
    <t>21.4.9.0</t>
  </si>
  <si>
    <t>Pārējie iepriekš neklasificētie pašu ieņēmumi</t>
  </si>
  <si>
    <t>04.11114</t>
  </si>
  <si>
    <t>04.2101</t>
  </si>
  <si>
    <t>04.2103</t>
  </si>
  <si>
    <t>04.51007</t>
  </si>
  <si>
    <t>05.1007</t>
  </si>
  <si>
    <t>06.1001</t>
  </si>
  <si>
    <t>08.1004</t>
  </si>
  <si>
    <t xml:space="preserve">       Struktūrvienība peldbaseins  "Neptūns"</t>
  </si>
  <si>
    <t>09.82030</t>
  </si>
  <si>
    <t>Mācību, darba un dienesta komandējumi, dienesta, darba braucieni</t>
  </si>
  <si>
    <t>Kompensācijas, kuras izmaksā personām, pamatojoties uz Latvijas tiesu nolēmumiem</t>
  </si>
  <si>
    <t>10.70015</t>
  </si>
  <si>
    <t>Kredīta atmaksa        F40322220</t>
  </si>
  <si>
    <t>Līdzekļu atlikums uz gada beigām (Kases apgrozāmie līdzekļi)  F22010020</t>
  </si>
  <si>
    <t>09.82032</t>
  </si>
  <si>
    <t>Informatīvi pasākumi uzņēmējiem</t>
  </si>
  <si>
    <t xml:space="preserve">Pašvaldības un tās iestāžu savstarpējie transferti </t>
  </si>
  <si>
    <t>Ieņēmumi no lauksaimnieciskās darbības</t>
  </si>
  <si>
    <t>07.4501</t>
  </si>
  <si>
    <t>08.2301</t>
  </si>
  <si>
    <t xml:space="preserve">    Kultūras aktivitātes / pasākumi</t>
  </si>
  <si>
    <t>Projekts Skolēnu autobusi (Soc.droš.tīkls)</t>
  </si>
  <si>
    <t>10.70003</t>
  </si>
  <si>
    <t>Sociālā dienesta asistentu pakalpojumi</t>
  </si>
  <si>
    <t>Zaudējumi no valūtas kursa svārstībām</t>
  </si>
  <si>
    <t>01.83011</t>
  </si>
  <si>
    <t>01.83012</t>
  </si>
  <si>
    <t>01.83013</t>
  </si>
  <si>
    <t>03.2001</t>
  </si>
  <si>
    <t>04.11102</t>
  </si>
  <si>
    <t>04.11103</t>
  </si>
  <si>
    <t>04.4301</t>
  </si>
  <si>
    <t>05.30001</t>
  </si>
  <si>
    <t>05.4001</t>
  </si>
  <si>
    <t xml:space="preserve">Mājokļu attīstība </t>
  </si>
  <si>
    <t>06.2001</t>
  </si>
  <si>
    <t>06.60004</t>
  </si>
  <si>
    <t xml:space="preserve">       Projektu konkurss "Veidojam vidi ap mums Ogres novadā"</t>
  </si>
  <si>
    <t xml:space="preserve">      Pašvaldības teritoriju labiekārtošana</t>
  </si>
  <si>
    <t>07.2101</t>
  </si>
  <si>
    <t>08.29007</t>
  </si>
  <si>
    <t>10.70006</t>
  </si>
  <si>
    <t>Jauniešu garantijas ietvaros projekta "PROTI un DARI!" īstenošana</t>
  </si>
  <si>
    <t>08.29008</t>
  </si>
  <si>
    <t>06.60012</t>
  </si>
  <si>
    <t xml:space="preserve">      SAM 9.2.4.2. Pasākumi vietējās sabiedrības slimību profilaksei un veselības veicināšanai</t>
  </si>
  <si>
    <t>08.2304</t>
  </si>
  <si>
    <t xml:space="preserve">    Kultūras centri - tautas nami</t>
  </si>
  <si>
    <t>08.300</t>
  </si>
  <si>
    <t>Apraides un izdevniecības pakalpojumi</t>
  </si>
  <si>
    <t>Ēdināšanas izmaksu kompensācijas</t>
  </si>
  <si>
    <t>Skolnieku pārvadājumi</t>
  </si>
  <si>
    <t>09.82001</t>
  </si>
  <si>
    <t>Karjeras atbalsts vispārējās un profesionālās izglītības iestādēs</t>
  </si>
  <si>
    <t>09.60010</t>
  </si>
  <si>
    <t>09.60020</t>
  </si>
  <si>
    <t>04.510010</t>
  </si>
  <si>
    <t>SAM 5,6,2, Degradētās teritorijas Pārogres industriālajā parkā revitalizācija</t>
  </si>
  <si>
    <t>Sākumskolas ERASMUS programmas 2. pamatdarbības starpskolu stratēģisko partnerību projekts "Kam ir bail no matemātikas"</t>
  </si>
  <si>
    <t>09.82041</t>
  </si>
  <si>
    <t>Atbalsts izglītojamo individuālo kompetenču attīstībai</t>
  </si>
  <si>
    <t>09.82039</t>
  </si>
  <si>
    <t>08.2101</t>
  </si>
  <si>
    <t>09.82042</t>
  </si>
  <si>
    <t>8.3.0.0.</t>
  </si>
  <si>
    <t>Īeņēmumi no dividendēm</t>
  </si>
  <si>
    <t>21.3.4.0.</t>
  </si>
  <si>
    <t>03.6002</t>
  </si>
  <si>
    <t>Atskurbtuves pakalpojumiem</t>
  </si>
  <si>
    <t>04.11116</t>
  </si>
  <si>
    <t>Ogres novadnieka karte</t>
  </si>
  <si>
    <t>08.2204</t>
  </si>
  <si>
    <t>08.2303</t>
  </si>
  <si>
    <t>08.3101</t>
  </si>
  <si>
    <t>08.3301</t>
  </si>
  <si>
    <t>Erasmus programmas projekts Digitālās kompetences darba tirgū jauniešiem</t>
  </si>
  <si>
    <t>10.70016</t>
  </si>
  <si>
    <t>ERAF "Pakalpojumu infrastruktūras attīstība deinstitualizācijas plānu īstenošanai"</t>
  </si>
  <si>
    <t>Tūrisma informācijas centrs</t>
  </si>
  <si>
    <t>09.82002</t>
  </si>
  <si>
    <t>Atbalsts priekšlaicīgas mācību pārtraukšanas samazināšanai (Pumpurs)</t>
  </si>
  <si>
    <t>09.82045</t>
  </si>
  <si>
    <t>Ogres 1. vidusskolas ERASMUS programmas 1. pamatdarbības mobilitātes projekts "No vārdiem pie darbiem: mūsdienīgu lietpratību veicinoša skola"</t>
  </si>
  <si>
    <t>04.7301</t>
  </si>
  <si>
    <t>07.4502</t>
  </si>
  <si>
    <t>06.60022</t>
  </si>
  <si>
    <t>10.70007</t>
  </si>
  <si>
    <t>Sociālo pakalpojumu atbalsta sistēmas pilnveide</t>
  </si>
  <si>
    <t xml:space="preserve">     Veselības veicināšanas pasākumiem</t>
  </si>
  <si>
    <t>Energoefektivitātes pasākumi</t>
  </si>
  <si>
    <t>SIA Ogres namsaimnieks finansējums domes deliģēto funkciju izpildei</t>
  </si>
  <si>
    <t>21.3.6.0.</t>
  </si>
  <si>
    <t>Ieņēmumi par  dokumentu izsniegšanu un kancelejas pakalpojumiem</t>
  </si>
  <si>
    <t>F40 32 00 10</t>
  </si>
  <si>
    <t>01.6001</t>
  </si>
  <si>
    <t>Finansējums Ogres un Ikšķiles PA "Tūrisma, sporta un atpūtas kompleksa "Zilie kalni"attīstības aģentūra"</t>
  </si>
  <si>
    <t>Projektu pieteikumu izstrāde, tehniskās dokumentācijas sagatavošana</t>
  </si>
  <si>
    <t>04.11118</t>
  </si>
  <si>
    <t>LAD projekts Suntažu tirgus laukuma izveide</t>
  </si>
  <si>
    <t>04.2102</t>
  </si>
  <si>
    <t xml:space="preserve">Centrālās Baltijas jūras reģiona programmas projekts "Nordic urban planning:  holistic approach for extreme weather" (NOAH) </t>
  </si>
  <si>
    <t>04.51015</t>
  </si>
  <si>
    <t>Parka ielas pārbūve</t>
  </si>
  <si>
    <t>Ielu tīrīšanai, atkritumu savākšanai,teritoriju labiekārtošanai</t>
  </si>
  <si>
    <t>05.30002</t>
  </si>
  <si>
    <t>Siltumnīcefekta gāzu emisiju samazināšana izbūvējot Ogres Centrālo bibliotēkas ēku</t>
  </si>
  <si>
    <t>06.3001</t>
  </si>
  <si>
    <t>Vispārējie ūdens apgādes izdevumi</t>
  </si>
  <si>
    <t>Dabas un bioloģiskās daudzveidības saglabāšanas un aizsardzības pasākumi īpaši aizsargājamajā dabas teritorijā "Ogres ieleja"</t>
  </si>
  <si>
    <t>06.60015</t>
  </si>
  <si>
    <t>Viedo tehnoloģiju ieviešana Ogres pilsētas apgaismojuma sistēmā</t>
  </si>
  <si>
    <t>08.220</t>
  </si>
  <si>
    <t xml:space="preserve">    Kultūras centri, nami</t>
  </si>
  <si>
    <t xml:space="preserve">    Komunikāciju centrs Ķeipenē</t>
  </si>
  <si>
    <t>Kultūras mantojuma saglabāšana un attīstība Daugavas ceļā</t>
  </si>
  <si>
    <t>08.29012</t>
  </si>
  <si>
    <t>09.82003</t>
  </si>
  <si>
    <t>Latvijas Skolas Soma</t>
  </si>
  <si>
    <t>09.82004</t>
  </si>
  <si>
    <t xml:space="preserve">Erasmus + programmas projekts Nr.2018-1-FR01-KA229-047933 3 (ģimnāzija) </t>
  </si>
  <si>
    <t>09.82005</t>
  </si>
  <si>
    <t xml:space="preserve">Erasmus + programmas projekts Nr.2018-1-PT01-KA229-047540 6 (ģimnāzija) </t>
  </si>
  <si>
    <t>09.82006</t>
  </si>
  <si>
    <t>Erasmus + programmas projekts Nr.2018-1-TR01-KA229-059950 3. Angļu valodas apguve (ģimnāzija)</t>
  </si>
  <si>
    <t>09.82009</t>
  </si>
  <si>
    <t>Erasmus + programmas projekts Nr.2018-1-ES01-KA229-050191 3. Kultūra uz skatuves (ģimnāzija)</t>
  </si>
  <si>
    <t>09.82010</t>
  </si>
  <si>
    <t>Sadarbībā ar Rīgas tehnisko universitāti, Māturības un tehnoloģju mācību kabineta aprīkošanā 1. vidusskolā</t>
  </si>
  <si>
    <t>Pārējās izglītības iestāžu pedagogu profesionālās kompetences  pilnveide (Ģimnāzija)</t>
  </si>
  <si>
    <t>09.82046</t>
  </si>
  <si>
    <t xml:space="preserve">Erasmus + programmas projekts Nr.2018-1-EE01-KA229-047133 4 Darbīgās bites (Dzīpariņš) </t>
  </si>
  <si>
    <t>10.70009</t>
  </si>
  <si>
    <t>Konkurss Vides pieejamības nodrošināšana invalīdiem</t>
  </si>
  <si>
    <t>F22010020</t>
  </si>
  <si>
    <t>Pieprasījuma noguldījuma izņemšana</t>
  </si>
  <si>
    <t>F55 01 00 11</t>
  </si>
  <si>
    <t>SIA MS siltums  pamatkapitāla palielināšanai (katlumāju rekonstrukcija) ; PSIA "Labs nams" pamatkapitāls</t>
  </si>
  <si>
    <t>Kapitālo izdevumu transferti</t>
  </si>
  <si>
    <t>06.60024</t>
  </si>
  <si>
    <t>Vides aizsardzības proj. "Lobes ezera apsaimniekošanas plāna izstrāde"</t>
  </si>
  <si>
    <t>LAD projekts "Ogresgala Tautas nama laukuma labiekārtošana" Nr.19-04-AL02-A019.2202-000006.</t>
  </si>
  <si>
    <t>08.29022</t>
  </si>
  <si>
    <t>Erasmus+programmas projekts "ALLready a Success to School Life" (Pilnībā gatavs veiksmei skolā) Nr.2018-1-TR01-KA201-059716.Sākumsk.</t>
  </si>
  <si>
    <t>09.82011</t>
  </si>
  <si>
    <t>Sociālo pakalpojumu atbalsta sistēmas pilnveide projekta (GRT) Nr.9.2.2.2/16/I/001.</t>
  </si>
  <si>
    <t>10.70011</t>
  </si>
  <si>
    <t>Ogres novada pašvaldības domes</t>
  </si>
  <si>
    <t xml:space="preserve">Ogres un Ogresgala 2020.g. budžets </t>
  </si>
  <si>
    <t>Pašvald. aģentūras "Ogres komunikācijas" 2020.g. budžets</t>
  </si>
  <si>
    <t>Pašvald. aģentūras "Kultūras centrs" 2020.g. budžets</t>
  </si>
  <si>
    <t>Pašvald. aģentūras "Rosme" 2020.g. budžets</t>
  </si>
  <si>
    <t>Suntažu pagasta pārvaldes 2020.g. budžets</t>
  </si>
  <si>
    <t>Lauberes pagasta pārvaldes 2020.g. budžets</t>
  </si>
  <si>
    <t>Ķeipenes pagasta pārvaldes 2020.g. budžets</t>
  </si>
  <si>
    <t>Madlienas pagasta pārvaldes 2020.g. budžets</t>
  </si>
  <si>
    <t>Krapes pagasta pārvaldes 2020.g. budžets</t>
  </si>
  <si>
    <t>Mazozolu pagasta pārvaldes 2020.g. budžets</t>
  </si>
  <si>
    <t>Meņģeles pagasta pārvaldes 2020.g. budžets</t>
  </si>
  <si>
    <t>Taurupes pagasta pārvaldes 2020.g. budžets</t>
  </si>
  <si>
    <t>Ogres novada pašvaldības 2020.g. budžets</t>
  </si>
  <si>
    <t>5.5.3.0.</t>
  </si>
  <si>
    <t>8.9.0.0.</t>
  </si>
  <si>
    <t>Pārējie finanšu ieņēmumi</t>
  </si>
  <si>
    <t>12.0.0.0.</t>
  </si>
  <si>
    <t>Procentu ieņēmumi par maksas pakalpojumiem un pašu ieguldījumiem depozītā</t>
  </si>
  <si>
    <t>Budžeta  atl.uz  01. 01. 2020.g.        F22010010</t>
  </si>
  <si>
    <t xml:space="preserve">   Vispārējie lauksaimniecības izdevumi</t>
  </si>
  <si>
    <t xml:space="preserve">   Novērst plūdu un krasta erozijas risku apdraudējumu Ogres pilsētas teritorijā, veicot vecā aizsargdambja pārbūvi un jauna aizsargmola (straumvirzes) būvniecību pie Ogres upes ietekas Daugavā</t>
  </si>
  <si>
    <t>04.51002</t>
  </si>
  <si>
    <t>04.51003</t>
  </si>
  <si>
    <t xml:space="preserve">     Grants ceļu bez cietā seguma posmu pārbūve Ogres novadā</t>
  </si>
  <si>
    <t>04.51016</t>
  </si>
  <si>
    <t>04.51017</t>
  </si>
  <si>
    <t>04.51018</t>
  </si>
  <si>
    <t>Iekārtā (gājēju) tilta pār Ogres upi teritorijā starp J.Čakstes pr. Un Ogres ielu Ogrē, būvniecība</t>
  </si>
  <si>
    <t xml:space="preserve">      Koncesija atkritumu apsaimniekošana</t>
  </si>
  <si>
    <t xml:space="preserve">       Lietus ūdens kanalizācija </t>
  </si>
  <si>
    <t xml:space="preserve">       Notekūdeņu (savākšana un attīrīšana)</t>
  </si>
  <si>
    <t xml:space="preserve">   Bioloģiskās daudzveidības un ainavas aizsardzība</t>
  </si>
  <si>
    <t xml:space="preserve">       mājokļu apsaimniekošana</t>
  </si>
  <si>
    <t xml:space="preserve">       siltumapgāde</t>
  </si>
  <si>
    <t xml:space="preserve">       kapu saimniecība</t>
  </si>
  <si>
    <t xml:space="preserve">      Īpašumu uzmērīšanai un reģistrēšanai Zemesgrāmatā</t>
  </si>
  <si>
    <t xml:space="preserve">      Pārējie izdevumi</t>
  </si>
  <si>
    <t xml:space="preserve">      Nevalstisko organizāciju projektu atbalstam</t>
  </si>
  <si>
    <t xml:space="preserve">      Saimniecības nodaļa</t>
  </si>
  <si>
    <t>06.60026</t>
  </si>
  <si>
    <t>Ogres bijušās sanatorijas ieejas vestibils</t>
  </si>
  <si>
    <t>06.60027</t>
  </si>
  <si>
    <t>Sūkņu stacijas projektēšana</t>
  </si>
  <si>
    <t>06.60028</t>
  </si>
  <si>
    <t>Jauniešu mājas būvprojekta izstrāde</t>
  </si>
  <si>
    <t xml:space="preserve">    Sudrabu Edžus memoriālā istabs</t>
  </si>
  <si>
    <t xml:space="preserve">    Papildus aktivitātes  Ogres novada pašvaldības iestādēs (vasaras nometnes)</t>
  </si>
  <si>
    <t xml:space="preserve">       Projektu konkurss RADI Ogres novadam (Kultūras, sporta un izglītības pasākumi, mācības, kursi)</t>
  </si>
  <si>
    <t>Zaļā tūrisma ceļu attīstība Latvijas un Krievijas pierobežas reģionā ” Greenways (Zaļais ceļš Rīga – Pleskava)LV-RU-006</t>
  </si>
  <si>
    <t>Finansējums bērniem, kuri apmeklē privātās pirmsskolas izglītības iestādes</t>
  </si>
  <si>
    <t>Suntažu pamatskola rehabilitācijas centrs</t>
  </si>
  <si>
    <t>09.810</t>
  </si>
  <si>
    <t>Pārējā izglītības vadība (Izglītības pārvalde)</t>
  </si>
  <si>
    <t xml:space="preserve">     Projekts Skolēnu autobusi (Šveice)</t>
  </si>
  <si>
    <t xml:space="preserve">      8.1.2.SAM "Uzlabot vispārējās izglītības iestāžu mācību vidi Ogres novadā"</t>
  </si>
  <si>
    <t>10.400</t>
  </si>
  <si>
    <t>10.500</t>
  </si>
  <si>
    <t xml:space="preserve">       ES projekts "Deinstitucionalizācija un sociālie pakalpojumi personām ar invaliditāti un bērniem"</t>
  </si>
  <si>
    <t>Ogres novada pašvaldības 2020.gada pamatbudžeta ieņēmumi.</t>
  </si>
  <si>
    <t>Ogres novada pašvaldības 2020. gada pamatbudžeta  izdevumi atbilstoši funkcionālajām kategorijām.</t>
  </si>
  <si>
    <t>Ogres novada pašvaldības 2020. gada pamatbudžeta  izdevumi atbilstoši ekonomiskajām kategorijām.</t>
  </si>
  <si>
    <t>Procentu maksājumi iekšzemes kredītiestādēm</t>
  </si>
  <si>
    <t>Starptautiskā sadarbība</t>
  </si>
  <si>
    <t>Pārējie iepriekš neuzskaitītie budžeta izdevumi, kas veidojas pēc uzkrāšanas principa un nav uzskaitīti citos 8000 apakškodos</t>
  </si>
  <si>
    <t>09.600139</t>
  </si>
  <si>
    <t>Ēdināšana Ogres skolās</t>
  </si>
  <si>
    <t>08.29023</t>
  </si>
  <si>
    <t>Brīvdabas skatuves būvniecība  un laukuma labiekārtošana Meņģelē</t>
  </si>
  <si>
    <t>09.5107</t>
  </si>
  <si>
    <t>Ogres Mūzikas un mākslas skola</t>
  </si>
  <si>
    <t>04.51021</t>
  </si>
  <si>
    <t>Gājēju tuneļa apgaismojuma ierīkošana Upes pr. 19 un Skolas iela 18, Ogrē</t>
  </si>
  <si>
    <t>04.51019</t>
  </si>
  <si>
    <t>Gājēju ceļa izbūve Jaunogres prospekta posmā no Baldones ielas līdz Raiņa prospektam, Ogrē</t>
  </si>
  <si>
    <t>08.29024</t>
  </si>
  <si>
    <t>Projekts "TRĪS.KOPĀ.LABĀK", "Starpnovadu un starpinstitūciju sadarbība jaunatnes politikas īstenošanai vietējā līmenī".</t>
  </si>
  <si>
    <t>09.82047</t>
  </si>
  <si>
    <t>Erasmus programmas projekts Nr.2020-1-LV01-KA101-077352 Skolu mācību mobilitāte (ģimnāzija)</t>
  </si>
  <si>
    <t>09.82048</t>
  </si>
  <si>
    <t>Erasmus programmas projekts Nr.2020-1-IT02-KA229-079156 2, Skolas apmaiņas partnerība (Jaunogres vsk.)</t>
  </si>
  <si>
    <t>09.82049</t>
  </si>
  <si>
    <t>Erasmus programmas projekts Nr.2020-1-PL01-KA229-081399 6 Es izaicinu vecumu ar sparu, (ģimnāzija)</t>
  </si>
  <si>
    <t>09.82050</t>
  </si>
  <si>
    <t>Erasmus programmas projekts Nr.2020-1-FR01-KA229-079905 2, Sagatavo mūs nākotnei, (ģimnāzija)</t>
  </si>
  <si>
    <t>09.82052</t>
  </si>
  <si>
    <t>Erasmus programmas projekts Nr.2020-1-TR01-KA229-093575 5 Atklāj patieso dzīvi, (ģimnāzija)</t>
  </si>
  <si>
    <t>09.82051</t>
  </si>
  <si>
    <t>Erasmus programmas projekts Nr.2020-1-TR01-KA229-093837 4, , (ģimnāzija)</t>
  </si>
  <si>
    <t>09.82053</t>
  </si>
  <si>
    <t>Erasmus programmas projekts Nr.2020-1-LV01-KA101-077362 Skolu mācību mobilitāte (Madlienas)</t>
  </si>
  <si>
    <t>09.82054</t>
  </si>
  <si>
    <t>04.51005</t>
  </si>
  <si>
    <t>Blaumaņa ielas Ogrē pārbūve</t>
  </si>
  <si>
    <t>04.51020</t>
  </si>
  <si>
    <t>Rožu ielas Ogrē pārbūve</t>
  </si>
  <si>
    <t>04.51022</t>
  </si>
  <si>
    <t>04.51023</t>
  </si>
  <si>
    <t>04.51024</t>
  </si>
  <si>
    <t>Egļu ielas Ogrē pārbūve</t>
  </si>
  <si>
    <t>Kadiķu ielas Ogrē pārbūve</t>
  </si>
  <si>
    <t>“Gājēju un veloceliņa izbūve gar autoceļa V996 "Ogre – Viskāļi - Koknese" brauktuves malu posmā no Ogres līdz Ogresgalam</t>
  </si>
  <si>
    <t>04.51025</t>
  </si>
  <si>
    <t>Lēdmanes ielas Ogrē pārbūve</t>
  </si>
  <si>
    <t>Zilokalnu un Vidus prospekta krustojuma satiksmes organizācija</t>
  </si>
  <si>
    <t>Gājēju ceļa no Pārogres stacijas līdz Pārogres gatvei rekonstrukcija</t>
  </si>
  <si>
    <t>Birzgales ielas, Ogrē pārbūve</t>
  </si>
  <si>
    <t>06.60029</t>
  </si>
  <si>
    <t>Tirgus laukuma Suntažos uzturēšanai</t>
  </si>
  <si>
    <t>08.400</t>
  </si>
  <si>
    <t>Reliģisko organizāciju un citu biedrību un nodibinājumu pakalpojumi (Sakrālā mantojuma saglabāšana)</t>
  </si>
  <si>
    <t>04.51026</t>
  </si>
  <si>
    <t>Gājēju ietves izbūve Madlienā</t>
  </si>
  <si>
    <t>Civilās aizsardzības pasākumi (COVID-19 izdevumi)</t>
  </si>
  <si>
    <t>Projekts "Uzņēmējdarbības attīstība Ogres stacijas rajonā, pārbūvējot uzņēmējiem svarīgu ielas posmu un laukumu Ogrē'' un Stacijas laukuma stāvlaukuma pārbūve.</t>
  </si>
  <si>
    <t>Finansējums bērniem, kuri apmeklē privātās izglītības iestādes</t>
  </si>
  <si>
    <t>09.21912</t>
  </si>
  <si>
    <t>ES projekts Digitālo mācību un metodisko līdzekļu izstrāde Uzdevumi.lv modernizācijai Nr.8.3.1.2/19/A/005.(1.vsk.)</t>
  </si>
  <si>
    <t>09.82055</t>
  </si>
  <si>
    <t>Pārējie iepriekš neklasificētie vispārējie valdības dienesti (Vēlēšanas)</t>
  </si>
  <si>
    <t xml:space="preserve">LAD projekts  "Rotaļu laukuma izveide Ogres novada Ķeipenes pagastā" </t>
  </si>
  <si>
    <t>09.82056</t>
  </si>
  <si>
    <t>Jaunu Pašvaldības pakalpojumu sniegšanas veidu attīstība</t>
  </si>
  <si>
    <t>15.10.2020. Saistošajiem noteikumiem Nr.20/2020</t>
  </si>
</sst>
</file>

<file path=xl/styles.xml><?xml version="1.0" encoding="utf-8"?>
<styleSheet xmlns="http://schemas.openxmlformats.org/spreadsheetml/2006/main">
  <numFmts count="7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\ &quot;Ls&quot;;\-#,##0\ &quot;Ls&quot;"/>
    <numFmt numFmtId="193" formatCode="#,##0\ &quot;Ls&quot;;[Red]\-#,##0\ &quot;Ls&quot;"/>
    <numFmt numFmtId="194" formatCode="#,##0.00\ &quot;Ls&quot;;\-#,##0.00\ &quot;Ls&quot;"/>
    <numFmt numFmtId="195" formatCode="#,##0.00\ &quot;Ls&quot;;[Red]\-#,##0.00\ &quot;Ls&quot;"/>
    <numFmt numFmtId="196" formatCode="_-* #,##0\ &quot;Ls&quot;_-;\-* #,##0\ &quot;Ls&quot;_-;_-* &quot;-&quot;\ &quot;Ls&quot;_-;_-@_-"/>
    <numFmt numFmtId="197" formatCode="_-* #,##0\ _L_s_-;\-* #,##0\ _L_s_-;_-* &quot;-&quot;\ _L_s_-;_-@_-"/>
    <numFmt numFmtId="198" formatCode="_-* #,##0.00\ &quot;Ls&quot;_-;\-* #,##0.00\ &quot;Ls&quot;_-;_-* &quot;-&quot;??\ &quot;Ls&quot;_-;_-@_-"/>
    <numFmt numFmtId="199" formatCode="_-* #,##0.00\ _L_s_-;\-* #,##0.00\ _L_s_-;_-* &quot;-&quot;??\ _L_s_-;_-@_-"/>
    <numFmt numFmtId="200" formatCode="0.0"/>
    <numFmt numFmtId="201" formatCode="0.0000"/>
    <numFmt numFmtId="202" formatCode="0.000"/>
    <numFmt numFmtId="203" formatCode="0.0%"/>
    <numFmt numFmtId="204" formatCode="0.000000000"/>
    <numFmt numFmtId="205" formatCode="0.0000000000"/>
    <numFmt numFmtId="206" formatCode="0.00000000"/>
    <numFmt numFmtId="207" formatCode="0.0000000"/>
    <numFmt numFmtId="208" formatCode="0.000000"/>
    <numFmt numFmtId="209" formatCode="0.00000"/>
    <numFmt numFmtId="210" formatCode="#,##0.0"/>
    <numFmt numFmtId="211" formatCode="_-* #,##0.0_-;\-* #,##0.0_-;_-* &quot;-&quot;??_-;_-@_-"/>
    <numFmt numFmtId="212" formatCode="_-* #,##0_-;\-* #,##0_-;_-* &quot;-&quot;??_-;_-@_-"/>
    <numFmt numFmtId="213" formatCode="_-&quot;Ls&quot;\ * #,##0.0_-;\-&quot;Ls&quot;\ * #,##0.0_-;_-&quot;Ls&quot;\ * &quot;-&quot;??_-;_-@_-"/>
    <numFmt numFmtId="214" formatCode="_-&quot;Ls&quot;\ * #,##0_-;\-&quot;Ls&quot;\ * #,##0_-;_-&quot;Ls&quot;\ * &quot;-&quot;??_-;_-@_-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0."/>
    <numFmt numFmtId="219" formatCode="000000"/>
    <numFmt numFmtId="220" formatCode="dd/mm/yy"/>
    <numFmt numFmtId="221" formatCode="[$€-2]\ #,##0.00_);[Red]\([$€-2]\ #,##0.00\)"/>
    <numFmt numFmtId="222" formatCode="#,##0.000"/>
    <numFmt numFmtId="223" formatCode="&quot;Jā&quot;;&quot;Jā&quot;;&quot;Nē&quot;"/>
    <numFmt numFmtId="224" formatCode="&quot;Patiess&quot;;&quot;Patiess&quot;;&quot;Aplams&quot;"/>
    <numFmt numFmtId="225" formatCode="&quot;Ieslēgts&quot;;&quot;Ieslēgts&quot;;&quot;Izslēgts&quot;"/>
    <numFmt numFmtId="226" formatCode="[$€-2]\ #\ ##,000_);[Red]\([$€-2]\ #\ ##,000\)"/>
    <numFmt numFmtId="227" formatCode="#,##0_);\(#,##0\)"/>
  </numFmts>
  <fonts count="3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10"/>
      <name val="Times New Roman"/>
      <family val="1"/>
    </font>
    <font>
      <sz val="16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9" fillId="20" borderId="1" applyNumberFormat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9" borderId="1" applyNumberFormat="0" applyAlignment="0" applyProtection="0"/>
    <xf numFmtId="0" fontId="3" fillId="0" borderId="0" applyNumberFormat="0" applyFill="0" applyBorder="0" applyAlignment="0" applyProtection="0"/>
    <xf numFmtId="0" fontId="20" fillId="20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12" fillId="6" borderId="0" applyNumberFormat="0" applyBorder="0" applyAlignment="0" applyProtection="0"/>
    <xf numFmtId="0" fontId="18" fillId="2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0" fillId="22" borderId="4" applyNumberForma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8" fillId="5" borderId="0" applyNumberFormat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3" fontId="4" fillId="24" borderId="10" xfId="0" applyNumberFormat="1" applyFont="1" applyFill="1" applyBorder="1" applyAlignment="1">
      <alignment/>
    </xf>
    <xf numFmtId="0" fontId="4" fillId="0" borderId="11" xfId="51" applyFont="1" applyBorder="1" applyAlignment="1">
      <alignment horizontal="left" wrapText="1"/>
      <protection/>
    </xf>
    <xf numFmtId="0" fontId="4" fillId="0" borderId="12" xfId="51" applyFont="1" applyBorder="1" applyAlignment="1">
      <alignment horizontal="left" wrapText="1"/>
      <protection/>
    </xf>
    <xf numFmtId="0" fontId="4" fillId="0" borderId="13" xfId="51" applyFont="1" applyBorder="1" applyAlignment="1">
      <alignment horizontal="left" wrapText="1"/>
      <protection/>
    </xf>
    <xf numFmtId="3" fontId="4" fillId="0" borderId="10" xfId="0" applyNumberFormat="1" applyFont="1" applyBorder="1" applyAlignment="1">
      <alignment horizontal="left" wrapText="1"/>
    </xf>
    <xf numFmtId="3" fontId="4" fillId="25" borderId="10" xfId="0" applyNumberFormat="1" applyFont="1" applyFill="1" applyBorder="1" applyAlignment="1">
      <alignment/>
    </xf>
    <xf numFmtId="0" fontId="4" fillId="0" borderId="10" xfId="57" applyFont="1" applyBorder="1" applyAlignment="1">
      <alignment wrapText="1"/>
      <protection/>
    </xf>
    <xf numFmtId="0" fontId="4" fillId="0" borderId="13" xfId="57" applyFont="1" applyBorder="1" applyAlignment="1">
      <alignment horizontal="left" wrapText="1"/>
      <protection/>
    </xf>
    <xf numFmtId="0" fontId="4" fillId="0" borderId="10" xfId="57" applyFont="1" applyBorder="1" applyAlignment="1">
      <alignment horizontal="left" wrapText="1"/>
      <protection/>
    </xf>
    <xf numFmtId="49" fontId="5" fillId="0" borderId="14" xfId="57" applyNumberFormat="1" applyFont="1" applyBorder="1" applyAlignment="1">
      <alignment horizontal="right"/>
      <protection/>
    </xf>
    <xf numFmtId="49" fontId="4" fillId="0" borderId="14" xfId="57" applyNumberFormat="1" applyFont="1" applyBorder="1" applyAlignment="1">
      <alignment horizontal="right"/>
      <protection/>
    </xf>
    <xf numFmtId="0" fontId="4" fillId="0" borderId="15" xfId="57" applyFont="1" applyBorder="1" applyAlignment="1">
      <alignment horizontal="left" wrapText="1"/>
      <protection/>
    </xf>
    <xf numFmtId="49" fontId="4" fillId="0" borderId="16" xfId="57" applyNumberFormat="1" applyFont="1" applyBorder="1" applyAlignment="1">
      <alignment horizontal="right"/>
      <protection/>
    </xf>
    <xf numFmtId="0" fontId="24" fillId="0" borderId="10" xfId="51" applyFont="1" applyBorder="1" applyAlignment="1">
      <alignment horizontal="left" wrapText="1"/>
      <protection/>
    </xf>
    <xf numFmtId="0" fontId="24" fillId="25" borderId="10" xfId="51" applyFont="1" applyFill="1" applyBorder="1" applyAlignment="1">
      <alignment horizontal="left" wrapText="1"/>
      <protection/>
    </xf>
    <xf numFmtId="49" fontId="4" fillId="0" borderId="17" xfId="57" applyNumberFormat="1" applyFont="1" applyBorder="1" applyAlignment="1">
      <alignment horizontal="right"/>
      <protection/>
    </xf>
    <xf numFmtId="0" fontId="4" fillId="0" borderId="12" xfId="57" applyFont="1" applyBorder="1" applyAlignment="1">
      <alignment wrapText="1"/>
      <protection/>
    </xf>
    <xf numFmtId="49" fontId="5" fillId="0" borderId="18" xfId="57" applyNumberFormat="1" applyFont="1" applyBorder="1" applyAlignment="1">
      <alignment horizontal="right"/>
      <protection/>
    </xf>
    <xf numFmtId="0" fontId="24" fillId="0" borderId="12" xfId="51" applyFont="1" applyBorder="1" applyAlignment="1">
      <alignment horizontal="left" wrapText="1"/>
      <protection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0" xfId="0" applyFont="1" applyFill="1" applyAlignment="1">
      <alignment horizontal="right"/>
    </xf>
    <xf numFmtId="0" fontId="4" fillId="25" borderId="1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4" fillId="0" borderId="19" xfId="54" applyFont="1" applyFill="1" applyBorder="1" applyAlignment="1">
      <alignment vertical="center" wrapText="1"/>
      <protection/>
    </xf>
    <xf numFmtId="3" fontId="4" fillId="0" borderId="10" xfId="0" applyNumberFormat="1" applyFont="1" applyFill="1" applyBorder="1" applyAlignment="1">
      <alignment wrapText="1"/>
    </xf>
    <xf numFmtId="3" fontId="4" fillId="0" borderId="20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0" fontId="4" fillId="0" borderId="10" xfId="51" applyFont="1" applyFill="1" applyBorder="1" applyAlignment="1">
      <alignment horizontal="left" wrapText="1"/>
      <protection/>
    </xf>
    <xf numFmtId="0" fontId="4" fillId="0" borderId="12" xfId="51" applyFont="1" applyFill="1" applyBorder="1" applyAlignment="1">
      <alignment horizontal="left" wrapText="1"/>
      <protection/>
    </xf>
    <xf numFmtId="3" fontId="4" fillId="0" borderId="0" xfId="0" applyNumberFormat="1" applyFont="1" applyFill="1" applyAlignment="1">
      <alignment horizontal="center" wrapText="1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left" wrapText="1"/>
    </xf>
    <xf numFmtId="0" fontId="24" fillId="0" borderId="23" xfId="0" applyFont="1" applyFill="1" applyBorder="1" applyAlignment="1">
      <alignment horizontal="center" vertical="center"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3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53" applyFont="1" applyFill="1" applyBorder="1" applyAlignment="1">
      <alignment horizontal="center" vertical="center" wrapText="1"/>
      <protection/>
    </xf>
    <xf numFmtId="0" fontId="5" fillId="0" borderId="25" xfId="50" applyFont="1" applyFill="1" applyBorder="1" applyAlignment="1" applyProtection="1">
      <alignment horizontal="center" vertical="center" wrapText="1"/>
      <protection/>
    </xf>
    <xf numFmtId="3" fontId="5" fillId="0" borderId="23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wrapText="1"/>
    </xf>
    <xf numFmtId="3" fontId="5" fillId="0" borderId="19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horizontal="left"/>
    </xf>
    <xf numFmtId="3" fontId="4" fillId="0" borderId="29" xfId="0" applyNumberFormat="1" applyFont="1" applyFill="1" applyBorder="1" applyAlignment="1">
      <alignment/>
    </xf>
    <xf numFmtId="3" fontId="4" fillId="25" borderId="29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4" fillId="0" borderId="32" xfId="0" applyFont="1" applyFill="1" applyBorder="1" applyAlignment="1">
      <alignment horizontal="left"/>
    </xf>
    <xf numFmtId="0" fontId="4" fillId="0" borderId="15" xfId="0" applyFont="1" applyFill="1" applyBorder="1" applyAlignment="1">
      <alignment wrapText="1"/>
    </xf>
    <xf numFmtId="3" fontId="4" fillId="0" borderId="33" xfId="0" applyNumberFormat="1" applyFont="1" applyFill="1" applyBorder="1" applyAlignment="1">
      <alignment/>
    </xf>
    <xf numFmtId="3" fontId="4" fillId="25" borderId="33" xfId="0" applyNumberFormat="1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 horizontal="left"/>
    </xf>
    <xf numFmtId="3" fontId="4" fillId="0" borderId="15" xfId="0" applyNumberFormat="1" applyFont="1" applyFill="1" applyBorder="1" applyAlignment="1">
      <alignment wrapText="1"/>
    </xf>
    <xf numFmtId="3" fontId="4" fillId="25" borderId="15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0" fontId="4" fillId="0" borderId="16" xfId="0" applyFont="1" applyBorder="1" applyAlignment="1">
      <alignment horizontal="left"/>
    </xf>
    <xf numFmtId="0" fontId="5" fillId="0" borderId="21" xfId="0" applyFont="1" applyBorder="1" applyAlignment="1">
      <alignment wrapText="1"/>
    </xf>
    <xf numFmtId="3" fontId="4" fillId="25" borderId="21" xfId="0" applyNumberFormat="1" applyFont="1" applyFill="1" applyBorder="1" applyAlignment="1">
      <alignment/>
    </xf>
    <xf numFmtId="3" fontId="5" fillId="0" borderId="27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/>
    </xf>
    <xf numFmtId="3" fontId="4" fillId="0" borderId="38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 horizontal="left"/>
    </xf>
    <xf numFmtId="3" fontId="4" fillId="0" borderId="39" xfId="0" applyNumberFormat="1" applyFont="1" applyFill="1" applyBorder="1" applyAlignment="1">
      <alignment horizontal="left"/>
    </xf>
    <xf numFmtId="3" fontId="4" fillId="0" borderId="21" xfId="0" applyNumberFormat="1" applyFont="1" applyFill="1" applyBorder="1" applyAlignment="1">
      <alignment wrapText="1"/>
    </xf>
    <xf numFmtId="3" fontId="4" fillId="0" borderId="40" xfId="0" applyNumberFormat="1" applyFont="1" applyFill="1" applyBorder="1" applyAlignment="1">
      <alignment/>
    </xf>
    <xf numFmtId="3" fontId="4" fillId="24" borderId="41" xfId="0" applyNumberFormat="1" applyFont="1" applyFill="1" applyBorder="1" applyAlignment="1">
      <alignment/>
    </xf>
    <xf numFmtId="3" fontId="4" fillId="0" borderId="42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 horizontal="left"/>
    </xf>
    <xf numFmtId="3" fontId="5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 wrapText="1"/>
    </xf>
    <xf numFmtId="3" fontId="5" fillId="0" borderId="30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4" fillId="0" borderId="43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4" fillId="0" borderId="44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 wrapText="1"/>
    </xf>
    <xf numFmtId="3" fontId="5" fillId="0" borderId="19" xfId="0" applyNumberFormat="1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 applyProtection="1">
      <alignment/>
      <protection/>
    </xf>
    <xf numFmtId="3" fontId="4" fillId="0" borderId="13" xfId="0" applyNumberFormat="1" applyFont="1" applyFill="1" applyBorder="1" applyAlignment="1" applyProtection="1">
      <alignment horizontal="left" wrapText="1"/>
      <protection/>
    </xf>
    <xf numFmtId="3" fontId="5" fillId="0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left" wrapText="1"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3" fontId="5" fillId="0" borderId="28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 horizontal="left" wrapText="1"/>
      <protection/>
    </xf>
    <xf numFmtId="3" fontId="4" fillId="0" borderId="10" xfId="0" applyNumberFormat="1" applyFont="1" applyFill="1" applyBorder="1" applyAlignment="1" applyProtection="1">
      <alignment horizontal="center"/>
      <protection/>
    </xf>
    <xf numFmtId="3" fontId="4" fillId="25" borderId="10" xfId="0" applyNumberFormat="1" applyFont="1" applyFill="1" applyBorder="1" applyAlignment="1" applyProtection="1">
      <alignment horizontal="center"/>
      <protection/>
    </xf>
    <xf numFmtId="3" fontId="24" fillId="0" borderId="23" xfId="0" applyNumberFormat="1" applyFont="1" applyFill="1" applyBorder="1" applyAlignment="1">
      <alignment horizontal="center" vertical="center"/>
    </xf>
    <xf numFmtId="3" fontId="24" fillId="0" borderId="19" xfId="0" applyNumberFormat="1" applyFont="1" applyFill="1" applyBorder="1" applyAlignment="1" applyProtection="1">
      <alignment horizontal="center" vertical="center" wrapText="1"/>
      <protection/>
    </xf>
    <xf numFmtId="3" fontId="4" fillId="0" borderId="24" xfId="53" applyNumberFormat="1" applyFont="1" applyFill="1" applyBorder="1" applyAlignment="1">
      <alignment horizontal="center" vertical="center" wrapText="1"/>
      <protection/>
    </xf>
    <xf numFmtId="3" fontId="4" fillId="0" borderId="19" xfId="54" applyNumberFormat="1" applyFont="1" applyFill="1" applyBorder="1" applyAlignment="1">
      <alignment vertical="center" wrapText="1"/>
      <protection/>
    </xf>
    <xf numFmtId="3" fontId="4" fillId="0" borderId="26" xfId="54" applyNumberFormat="1" applyFont="1" applyFill="1" applyBorder="1" applyAlignment="1">
      <alignment vertical="center" wrapText="1"/>
      <protection/>
    </xf>
    <xf numFmtId="3" fontId="5" fillId="0" borderId="25" xfId="50" applyNumberFormat="1" applyFont="1" applyFill="1" applyBorder="1" applyAlignment="1" applyProtection="1">
      <alignment horizontal="center" vertical="center" wrapText="1"/>
      <protection/>
    </xf>
    <xf numFmtId="3" fontId="5" fillId="0" borderId="23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wrapText="1"/>
    </xf>
    <xf numFmtId="3" fontId="5" fillId="0" borderId="20" xfId="0" applyNumberFormat="1" applyFont="1" applyFill="1" applyBorder="1" applyAlignment="1">
      <alignment/>
    </xf>
    <xf numFmtId="3" fontId="5" fillId="0" borderId="45" xfId="0" applyNumberFormat="1" applyFont="1" applyFill="1" applyBorder="1" applyAlignment="1">
      <alignment/>
    </xf>
    <xf numFmtId="3" fontId="5" fillId="0" borderId="37" xfId="0" applyNumberFormat="1" applyFont="1" applyFill="1" applyBorder="1" applyAlignment="1">
      <alignment/>
    </xf>
    <xf numFmtId="3" fontId="5" fillId="0" borderId="46" xfId="0" applyNumberFormat="1" applyFont="1" applyFill="1" applyBorder="1" applyAlignment="1">
      <alignment/>
    </xf>
    <xf numFmtId="49" fontId="5" fillId="0" borderId="16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" fontId="5" fillId="0" borderId="47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left" wrapText="1"/>
    </xf>
    <xf numFmtId="3" fontId="4" fillId="0" borderId="14" xfId="0" applyNumberFormat="1" applyFont="1" applyFill="1" applyBorder="1" applyAlignment="1">
      <alignment horizontal="right" wrapText="1"/>
    </xf>
    <xf numFmtId="3" fontId="4" fillId="25" borderId="28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wrapText="1"/>
    </xf>
    <xf numFmtId="3" fontId="5" fillId="0" borderId="11" xfId="0" applyNumberFormat="1" applyFont="1" applyFill="1" applyBorder="1" applyAlignment="1">
      <alignment/>
    </xf>
    <xf numFmtId="3" fontId="5" fillId="25" borderId="11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41" xfId="0" applyNumberFormat="1" applyFont="1" applyFill="1" applyBorder="1" applyAlignment="1">
      <alignment/>
    </xf>
    <xf numFmtId="3" fontId="5" fillId="0" borderId="48" xfId="0" applyNumberFormat="1" applyFont="1" applyFill="1" applyBorder="1" applyAlignment="1">
      <alignment/>
    </xf>
    <xf numFmtId="3" fontId="4" fillId="25" borderId="20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wrapText="1"/>
    </xf>
    <xf numFmtId="3" fontId="5" fillId="0" borderId="43" xfId="0" applyNumberFormat="1" applyFont="1" applyFill="1" applyBorder="1" applyAlignment="1">
      <alignment/>
    </xf>
    <xf numFmtId="3" fontId="4" fillId="0" borderId="15" xfId="51" applyNumberFormat="1" applyFont="1" applyFill="1" applyBorder="1" applyAlignment="1">
      <alignment horizontal="left" wrapText="1"/>
      <protection/>
    </xf>
    <xf numFmtId="3" fontId="4" fillId="25" borderId="38" xfId="0" applyNumberFormat="1" applyFont="1" applyFill="1" applyBorder="1" applyAlignment="1">
      <alignment/>
    </xf>
    <xf numFmtId="3" fontId="5" fillId="0" borderId="12" xfId="57" applyNumberFormat="1" applyFont="1" applyBorder="1" applyAlignment="1">
      <alignment wrapText="1"/>
      <protection/>
    </xf>
    <xf numFmtId="3" fontId="5" fillId="0" borderId="38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 horizontal="right"/>
    </xf>
    <xf numFmtId="3" fontId="4" fillId="0" borderId="35" xfId="0" applyNumberFormat="1" applyFont="1" applyFill="1" applyBorder="1" applyAlignment="1">
      <alignment/>
    </xf>
    <xf numFmtId="3" fontId="4" fillId="0" borderId="47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left"/>
    </xf>
    <xf numFmtId="3" fontId="4" fillId="0" borderId="10" xfId="51" applyNumberFormat="1" applyFont="1" applyFill="1" applyBorder="1" applyAlignment="1">
      <alignment horizontal="left" vertical="center" wrapText="1"/>
      <protection/>
    </xf>
    <xf numFmtId="3" fontId="4" fillId="0" borderId="10" xfId="51" applyNumberFormat="1" applyFont="1" applyFill="1" applyBorder="1" applyAlignment="1">
      <alignment horizontal="left" wrapText="1"/>
      <protection/>
    </xf>
    <xf numFmtId="49" fontId="4" fillId="0" borderId="14" xfId="0" applyNumberFormat="1" applyFont="1" applyFill="1" applyBorder="1" applyAlignment="1">
      <alignment horizontal="right"/>
    </xf>
    <xf numFmtId="0" fontId="4" fillId="0" borderId="10" xfId="51" applyFont="1" applyFill="1" applyBorder="1" applyAlignment="1">
      <alignment horizontal="center" wrapText="1"/>
      <protection/>
    </xf>
    <xf numFmtId="3" fontId="4" fillId="0" borderId="13" xfId="0" applyNumberFormat="1" applyFont="1" applyFill="1" applyBorder="1" applyAlignment="1">
      <alignment horizontal="left" wrapText="1"/>
    </xf>
    <xf numFmtId="3" fontId="5" fillId="0" borderId="13" xfId="0" applyNumberFormat="1" applyFont="1" applyFill="1" applyBorder="1" applyAlignment="1">
      <alignment horizontal="left" wrapText="1"/>
    </xf>
    <xf numFmtId="3" fontId="5" fillId="0" borderId="17" xfId="57" applyNumberFormat="1" applyFont="1" applyBorder="1" applyAlignment="1">
      <alignment horizontal="right"/>
      <protection/>
    </xf>
    <xf numFmtId="3" fontId="5" fillId="0" borderId="19" xfId="0" applyNumberFormat="1" applyFont="1" applyFill="1" applyBorder="1" applyAlignment="1">
      <alignment horizontal="left" wrapText="1"/>
    </xf>
    <xf numFmtId="3" fontId="5" fillId="0" borderId="49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 horizontal="right"/>
    </xf>
    <xf numFmtId="3" fontId="4" fillId="0" borderId="13" xfId="51" applyNumberFormat="1" applyFont="1" applyFill="1" applyBorder="1" applyAlignment="1">
      <alignment horizontal="left" wrapText="1"/>
      <protection/>
    </xf>
    <xf numFmtId="3" fontId="5" fillId="25" borderId="20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 horizontal="right"/>
    </xf>
    <xf numFmtId="3" fontId="4" fillId="0" borderId="29" xfId="0" applyNumberFormat="1" applyFont="1" applyFill="1" applyBorder="1" applyAlignment="1">
      <alignment horizontal="left" wrapText="1"/>
    </xf>
    <xf numFmtId="3" fontId="4" fillId="25" borderId="10" xfId="57" applyNumberFormat="1" applyFont="1" applyFill="1" applyBorder="1" applyAlignment="1">
      <alignment horizontal="left" wrapText="1"/>
      <protection/>
    </xf>
    <xf numFmtId="0" fontId="30" fillId="0" borderId="50" xfId="57" applyFont="1" applyBorder="1" applyAlignment="1">
      <alignment horizontal="left" wrapText="1"/>
      <protection/>
    </xf>
    <xf numFmtId="3" fontId="4" fillId="0" borderId="51" xfId="0" applyNumberFormat="1" applyFont="1" applyFill="1" applyBorder="1" applyAlignment="1">
      <alignment/>
    </xf>
    <xf numFmtId="3" fontId="4" fillId="0" borderId="15" xfId="0" applyNumberFormat="1" applyFont="1" applyBorder="1" applyAlignment="1">
      <alignment horizontal="left" wrapText="1"/>
    </xf>
    <xf numFmtId="3" fontId="5" fillId="0" borderId="15" xfId="0" applyNumberFormat="1" applyFont="1" applyBorder="1" applyAlignment="1">
      <alignment horizontal="left" wrapText="1"/>
    </xf>
    <xf numFmtId="3" fontId="5" fillId="25" borderId="28" xfId="0" applyNumberFormat="1" applyFont="1" applyFill="1" applyBorder="1" applyAlignment="1">
      <alignment/>
    </xf>
    <xf numFmtId="3" fontId="5" fillId="0" borderId="0" xfId="0" applyNumberFormat="1" applyFont="1" applyBorder="1" applyAlignment="1">
      <alignment wrapText="1"/>
    </xf>
    <xf numFmtId="3" fontId="5" fillId="0" borderId="12" xfId="0" applyNumberFormat="1" applyFont="1" applyFill="1" applyBorder="1" applyAlignment="1">
      <alignment/>
    </xf>
    <xf numFmtId="3" fontId="5" fillId="0" borderId="52" xfId="0" applyNumberFormat="1" applyFont="1" applyFill="1" applyBorder="1" applyAlignment="1">
      <alignment horizontal="left"/>
    </xf>
    <xf numFmtId="3" fontId="5" fillId="0" borderId="53" xfId="0" applyNumberFormat="1" applyFont="1" applyFill="1" applyBorder="1" applyAlignment="1">
      <alignment horizontal="right"/>
    </xf>
    <xf numFmtId="3" fontId="5" fillId="0" borderId="50" xfId="0" applyNumberFormat="1" applyFont="1" applyFill="1" applyBorder="1" applyAlignment="1">
      <alignment wrapText="1"/>
    </xf>
    <xf numFmtId="3" fontId="5" fillId="0" borderId="54" xfId="0" applyNumberFormat="1" applyFont="1" applyFill="1" applyBorder="1" applyAlignment="1">
      <alignment/>
    </xf>
    <xf numFmtId="3" fontId="5" fillId="0" borderId="55" xfId="0" applyNumberFormat="1" applyFont="1" applyFill="1" applyBorder="1" applyAlignment="1">
      <alignment/>
    </xf>
    <xf numFmtId="3" fontId="5" fillId="0" borderId="56" xfId="0" applyNumberFormat="1" applyFont="1" applyFill="1" applyBorder="1" applyAlignment="1">
      <alignment/>
    </xf>
    <xf numFmtId="3" fontId="4" fillId="0" borderId="16" xfId="57" applyNumberFormat="1" applyFont="1" applyBorder="1" applyAlignment="1">
      <alignment horizontal="right"/>
      <protection/>
    </xf>
    <xf numFmtId="3" fontId="4" fillId="0" borderId="10" xfId="51" applyNumberFormat="1" applyFont="1" applyBorder="1" applyAlignment="1">
      <alignment horizontal="left" wrapText="1"/>
      <protection/>
    </xf>
    <xf numFmtId="3" fontId="24" fillId="0" borderId="10" xfId="51" applyNumberFormat="1" applyFont="1" applyBorder="1" applyAlignment="1">
      <alignment horizontal="left" wrapText="1"/>
      <protection/>
    </xf>
    <xf numFmtId="3" fontId="24" fillId="0" borderId="12" xfId="51" applyNumberFormat="1" applyFont="1" applyBorder="1" applyAlignment="1">
      <alignment horizontal="left" wrapText="1"/>
      <protection/>
    </xf>
    <xf numFmtId="3" fontId="24" fillId="0" borderId="15" xfId="51" applyNumberFormat="1" applyFont="1" applyBorder="1" applyAlignment="1">
      <alignment horizontal="left" wrapText="1"/>
      <protection/>
    </xf>
    <xf numFmtId="3" fontId="4" fillId="0" borderId="10" xfId="0" applyNumberFormat="1" applyFont="1" applyFill="1" applyBorder="1" applyAlignment="1">
      <alignment horizontal="left" wrapText="1"/>
    </xf>
    <xf numFmtId="3" fontId="4" fillId="0" borderId="10" xfId="52" applyNumberFormat="1" applyFont="1" applyFill="1" applyBorder="1" applyAlignment="1">
      <alignment horizontal="left" wrapText="1"/>
      <protection/>
    </xf>
    <xf numFmtId="3" fontId="4" fillId="0" borderId="10" xfId="52" applyNumberFormat="1" applyFont="1" applyBorder="1" applyAlignment="1">
      <alignment horizontal="left" wrapText="1"/>
      <protection/>
    </xf>
    <xf numFmtId="3" fontId="5" fillId="0" borderId="21" xfId="0" applyNumberFormat="1" applyFont="1" applyFill="1" applyBorder="1" applyAlignment="1">
      <alignment wrapText="1"/>
    </xf>
    <xf numFmtId="3" fontId="5" fillId="0" borderId="22" xfId="0" applyNumberFormat="1" applyFont="1" applyFill="1" applyBorder="1" applyAlignment="1">
      <alignment/>
    </xf>
    <xf numFmtId="3" fontId="5" fillId="0" borderId="36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>
      <alignment wrapText="1"/>
    </xf>
    <xf numFmtId="3" fontId="4" fillId="0" borderId="0" xfId="50" applyNumberFormat="1" applyFont="1" applyFill="1" applyBorder="1" applyAlignment="1">
      <alignment horizontal="left" wrapText="1"/>
      <protection/>
    </xf>
    <xf numFmtId="3" fontId="27" fillId="0" borderId="0" xfId="0" applyNumberFormat="1" applyFont="1" applyFill="1" applyBorder="1" applyAlignment="1">
      <alignment horizontal="right" wrapText="1"/>
    </xf>
    <xf numFmtId="3" fontId="29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 wrapText="1"/>
    </xf>
    <xf numFmtId="3" fontId="29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55" applyFont="1" applyFill="1" applyAlignment="1">
      <alignment horizontal="left"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left" wrapText="1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27" fillId="0" borderId="0" xfId="0" applyNumberFormat="1" applyFont="1" applyFill="1" applyAlignment="1">
      <alignment/>
    </xf>
    <xf numFmtId="3" fontId="4" fillId="0" borderId="0" xfId="55" applyNumberFormat="1" applyFont="1" applyFill="1" applyAlignment="1">
      <alignment horizontal="right"/>
      <protection/>
    </xf>
    <xf numFmtId="3" fontId="4" fillId="0" borderId="0" xfId="55" applyNumberFormat="1" applyFont="1" applyFill="1" applyAlignment="1">
      <alignment horizontal="left"/>
      <protection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5" fillId="0" borderId="39" xfId="0" applyNumberFormat="1" applyFont="1" applyFill="1" applyBorder="1" applyAlignment="1">
      <alignment horizontal="left"/>
    </xf>
    <xf numFmtId="3" fontId="1" fillId="0" borderId="45" xfId="0" applyNumberFormat="1" applyFont="1" applyFill="1" applyBorder="1" applyAlignment="1">
      <alignment/>
    </xf>
    <xf numFmtId="3" fontId="4" fillId="0" borderId="57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 wrapText="1"/>
    </xf>
    <xf numFmtId="3" fontId="5" fillId="0" borderId="26" xfId="0" applyNumberFormat="1" applyFont="1" applyFill="1" applyBorder="1" applyAlignment="1">
      <alignment horizontal="right"/>
    </xf>
    <xf numFmtId="3" fontId="5" fillId="0" borderId="52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wrapText="1"/>
    </xf>
    <xf numFmtId="0" fontId="30" fillId="0" borderId="10" xfId="57" applyFont="1" applyBorder="1" applyAlignment="1">
      <alignment horizontal="left" wrapText="1"/>
      <protection/>
    </xf>
    <xf numFmtId="0" fontId="24" fillId="0" borderId="13" xfId="51" applyFont="1" applyBorder="1" applyAlignment="1">
      <alignment horizontal="left" wrapText="1"/>
      <protection/>
    </xf>
    <xf numFmtId="0" fontId="4" fillId="0" borderId="26" xfId="54" applyFont="1" applyFill="1" applyBorder="1" applyAlignment="1">
      <alignment vertical="center" wrapText="1"/>
      <protection/>
    </xf>
    <xf numFmtId="3" fontId="1" fillId="0" borderId="28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left" wrapText="1"/>
    </xf>
    <xf numFmtId="0" fontId="4" fillId="0" borderId="10" xfId="52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horizontal="left" wrapText="1"/>
      <protection/>
    </xf>
    <xf numFmtId="0" fontId="4" fillId="0" borderId="28" xfId="0" applyFont="1" applyFill="1" applyBorder="1" applyAlignment="1">
      <alignment horizontal="left" wrapText="1"/>
    </xf>
    <xf numFmtId="3" fontId="25" fillId="0" borderId="0" xfId="0" applyNumberFormat="1" applyFont="1" applyBorder="1" applyAlignment="1">
      <alignment wrapText="1"/>
    </xf>
    <xf numFmtId="3" fontId="4" fillId="0" borderId="16" xfId="0" applyNumberFormat="1" applyFont="1" applyFill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/>
      <protection/>
    </xf>
    <xf numFmtId="3" fontId="5" fillId="0" borderId="58" xfId="0" applyNumberFormat="1" applyFont="1" applyFill="1" applyBorder="1" applyAlignment="1">
      <alignment/>
    </xf>
    <xf numFmtId="3" fontId="4" fillId="0" borderId="14" xfId="0" applyNumberFormat="1" applyFont="1" applyFill="1" applyBorder="1" applyAlignment="1" applyProtection="1">
      <alignment/>
      <protection/>
    </xf>
    <xf numFmtId="3" fontId="5" fillId="0" borderId="18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 horizontal="left" wrapText="1"/>
      <protection/>
    </xf>
    <xf numFmtId="3" fontId="5" fillId="0" borderId="41" xfId="0" applyNumberFormat="1" applyFont="1" applyFill="1" applyBorder="1" applyAlignment="1" applyProtection="1">
      <alignment horizontal="right"/>
      <protection/>
    </xf>
    <xf numFmtId="3" fontId="5" fillId="0" borderId="42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Border="1" applyAlignment="1">
      <alignment horizontal="center" wrapText="1"/>
    </xf>
    <xf numFmtId="3" fontId="4" fillId="0" borderId="14" xfId="57" applyNumberFormat="1" applyFont="1" applyBorder="1" applyAlignment="1">
      <alignment horizontal="right"/>
      <protection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3" fontId="28" fillId="0" borderId="59" xfId="0" applyNumberFormat="1" applyFont="1" applyFill="1" applyBorder="1" applyAlignment="1">
      <alignment horizontal="center" wrapText="1"/>
    </xf>
  </cellXfs>
  <cellStyles count="56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_2009.g plāns apst 3" xfId="50"/>
    <cellStyle name="Normal_PROJEKTI_2016_PLĀNS_Aija un Inese" xfId="51"/>
    <cellStyle name="Normal_PROJEKTI_2016_PLĀNS_Aija un Inese 2" xfId="52"/>
    <cellStyle name="Normal_Sheet1" xfId="53"/>
    <cellStyle name="Normal_Sheet1_Pielikumi oktobra korekcijam 2" xfId="54"/>
    <cellStyle name="Normal_Specbudz.kopsavilkums 2006.g un korekc. 2" xfId="55"/>
    <cellStyle name="Nosaukums" xfId="56"/>
    <cellStyle name="Parasts 2" xfId="57"/>
    <cellStyle name="Paskaidrojošs teksts" xfId="58"/>
    <cellStyle name="Pārbaudes šūna" xfId="59"/>
    <cellStyle name="Piezīme" xfId="60"/>
    <cellStyle name="Percent" xfId="61"/>
    <cellStyle name="Saistīta šūna" xfId="62"/>
    <cellStyle name="Slikts" xfId="63"/>
    <cellStyle name="Currency" xfId="64"/>
    <cellStyle name="Currency [0]" xfId="65"/>
    <cellStyle name="Virsraksts 1" xfId="66"/>
    <cellStyle name="Virsraksts 2" xfId="67"/>
    <cellStyle name="Virsraksts 3" xfId="68"/>
    <cellStyle name="Virsraksts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1"/>
  <sheetViews>
    <sheetView tabSelected="1" zoomScale="98" zoomScaleNormal="98" zoomScalePageLayoutView="0" workbookViewId="0" topLeftCell="A1">
      <pane xSplit="2" ySplit="7" topLeftCell="C14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Q11" sqref="Q11"/>
    </sheetView>
  </sheetViews>
  <sheetFormatPr defaultColWidth="9.140625" defaultRowHeight="12.75"/>
  <cols>
    <col min="1" max="1" width="13.28125" style="24" customWidth="1"/>
    <col min="2" max="2" width="41.00390625" style="202" customWidth="1"/>
    <col min="3" max="3" width="12.7109375" style="24" customWidth="1"/>
    <col min="4" max="4" width="13.8515625" style="204" customWidth="1"/>
    <col min="5" max="5" width="10.7109375" style="24" customWidth="1"/>
    <col min="6" max="6" width="11.00390625" style="24" customWidth="1"/>
    <col min="7" max="7" width="10.8515625" style="24" bestFit="1" customWidth="1"/>
    <col min="8" max="8" width="9.7109375" style="24" customWidth="1"/>
    <col min="9" max="9" width="10.421875" style="24" customWidth="1"/>
    <col min="10" max="10" width="11.28125" style="24" customWidth="1"/>
    <col min="11" max="11" width="10.00390625" style="24" customWidth="1"/>
    <col min="12" max="12" width="9.7109375" style="24" customWidth="1"/>
    <col min="13" max="13" width="10.421875" style="24" customWidth="1"/>
    <col min="14" max="14" width="10.28125" style="24" customWidth="1"/>
    <col min="15" max="15" width="13.00390625" style="206" customWidth="1"/>
    <col min="16" max="16384" width="9.140625" style="24" customWidth="1"/>
  </cols>
  <sheetData>
    <row r="1" spans="5:14" ht="15">
      <c r="E1" s="205"/>
      <c r="F1" s="205"/>
      <c r="N1" s="22" t="s">
        <v>10</v>
      </c>
    </row>
    <row r="2" spans="1:14" ht="15">
      <c r="A2" s="207"/>
      <c r="E2" s="207"/>
      <c r="F2" s="207"/>
      <c r="N2" s="22" t="s">
        <v>422</v>
      </c>
    </row>
    <row r="3" spans="1:14" ht="15">
      <c r="A3" s="207"/>
      <c r="E3" s="207"/>
      <c r="F3" s="207"/>
      <c r="N3" s="22" t="s">
        <v>545</v>
      </c>
    </row>
    <row r="5" spans="1:4" ht="20.25">
      <c r="A5" s="248" t="s">
        <v>481</v>
      </c>
      <c r="B5" s="248"/>
      <c r="C5" s="248"/>
      <c r="D5" s="248"/>
    </row>
    <row r="6" spans="1:13" ht="15.75" thickBot="1">
      <c r="A6" s="207"/>
      <c r="B6" s="208"/>
      <c r="C6" s="207"/>
      <c r="M6" s="209"/>
    </row>
    <row r="7" spans="1:15" ht="104.25" customHeight="1" thickBot="1">
      <c r="A7" s="40" t="s">
        <v>9</v>
      </c>
      <c r="B7" s="41" t="s">
        <v>129</v>
      </c>
      <c r="C7" s="43" t="s">
        <v>423</v>
      </c>
      <c r="D7" s="44" t="s">
        <v>424</v>
      </c>
      <c r="E7" s="42" t="s">
        <v>425</v>
      </c>
      <c r="F7" s="42" t="s">
        <v>426</v>
      </c>
      <c r="G7" s="25" t="s">
        <v>427</v>
      </c>
      <c r="H7" s="25" t="s">
        <v>428</v>
      </c>
      <c r="I7" s="25" t="s">
        <v>429</v>
      </c>
      <c r="J7" s="25" t="s">
        <v>430</v>
      </c>
      <c r="K7" s="25" t="s">
        <v>431</v>
      </c>
      <c r="L7" s="25" t="s">
        <v>432</v>
      </c>
      <c r="M7" s="25" t="s">
        <v>433</v>
      </c>
      <c r="N7" s="229" t="s">
        <v>434</v>
      </c>
      <c r="O7" s="45" t="s">
        <v>435</v>
      </c>
    </row>
    <row r="8" spans="1:15" ht="15.75" thickBot="1">
      <c r="A8" s="46"/>
      <c r="B8" s="47" t="s">
        <v>21</v>
      </c>
      <c r="C8" s="48">
        <f>C9+C12+C17+C18</f>
        <v>24695547</v>
      </c>
      <c r="D8" s="48">
        <f aca="true" t="shared" si="0" ref="D8:N8">D9+D12+D18</f>
        <v>0</v>
      </c>
      <c r="E8" s="48">
        <f t="shared" si="0"/>
        <v>0</v>
      </c>
      <c r="F8" s="49">
        <f t="shared" si="0"/>
        <v>0</v>
      </c>
      <c r="G8" s="48">
        <f>G9+G12+G18</f>
        <v>109850</v>
      </c>
      <c r="H8" s="48">
        <f t="shared" si="0"/>
        <v>50140</v>
      </c>
      <c r="I8" s="48">
        <f t="shared" si="0"/>
        <v>44700</v>
      </c>
      <c r="J8" s="48">
        <f t="shared" si="0"/>
        <v>102948</v>
      </c>
      <c r="K8" s="48">
        <f t="shared" si="0"/>
        <v>55000</v>
      </c>
      <c r="L8" s="48">
        <f t="shared" si="0"/>
        <v>49012</v>
      </c>
      <c r="M8" s="48">
        <f t="shared" si="0"/>
        <v>48623</v>
      </c>
      <c r="N8" s="48">
        <f t="shared" si="0"/>
        <v>68172</v>
      </c>
      <c r="O8" s="50">
        <f>SUM(C8:N8)</f>
        <v>25223992</v>
      </c>
    </row>
    <row r="9" spans="1:15" ht="15">
      <c r="A9" s="51" t="s">
        <v>22</v>
      </c>
      <c r="B9" s="52" t="s">
        <v>130</v>
      </c>
      <c r="C9" s="53">
        <f aca="true" t="shared" si="1" ref="C9:N9">SUM(C10:C11)</f>
        <v>22842645</v>
      </c>
      <c r="D9" s="53">
        <f t="shared" si="1"/>
        <v>0</v>
      </c>
      <c r="E9" s="53">
        <f t="shared" si="1"/>
        <v>0</v>
      </c>
      <c r="F9" s="27">
        <f t="shared" si="1"/>
        <v>0</v>
      </c>
      <c r="G9" s="53">
        <f t="shared" si="1"/>
        <v>0</v>
      </c>
      <c r="H9" s="53">
        <f t="shared" si="1"/>
        <v>0</v>
      </c>
      <c r="I9" s="53">
        <f t="shared" si="1"/>
        <v>0</v>
      </c>
      <c r="J9" s="53">
        <f t="shared" si="1"/>
        <v>0</v>
      </c>
      <c r="K9" s="53">
        <f t="shared" si="1"/>
        <v>0</v>
      </c>
      <c r="L9" s="53">
        <f t="shared" si="1"/>
        <v>0</v>
      </c>
      <c r="M9" s="53">
        <f t="shared" si="1"/>
        <v>0</v>
      </c>
      <c r="N9" s="53">
        <f t="shared" si="1"/>
        <v>0</v>
      </c>
      <c r="O9" s="54">
        <f aca="true" t="shared" si="2" ref="O9:O49">SUM(C9:N9)</f>
        <v>22842645</v>
      </c>
    </row>
    <row r="10" spans="1:15" ht="45">
      <c r="A10" s="55" t="s">
        <v>23</v>
      </c>
      <c r="B10" s="26" t="s">
        <v>131</v>
      </c>
      <c r="C10" s="20"/>
      <c r="D10" s="20"/>
      <c r="E10" s="20"/>
      <c r="F10" s="56"/>
      <c r="G10" s="20"/>
      <c r="H10" s="20"/>
      <c r="I10" s="20"/>
      <c r="J10" s="20"/>
      <c r="K10" s="20"/>
      <c r="L10" s="20"/>
      <c r="M10" s="20"/>
      <c r="N10" s="20"/>
      <c r="O10" s="54">
        <f t="shared" si="2"/>
        <v>0</v>
      </c>
    </row>
    <row r="11" spans="1:15" ht="30">
      <c r="A11" s="55" t="s">
        <v>24</v>
      </c>
      <c r="B11" s="26" t="s">
        <v>132</v>
      </c>
      <c r="C11" s="20">
        <v>22842645</v>
      </c>
      <c r="D11" s="20"/>
      <c r="E11" s="20"/>
      <c r="F11" s="56"/>
      <c r="G11" s="20"/>
      <c r="H11" s="20"/>
      <c r="I11" s="20"/>
      <c r="J11" s="20"/>
      <c r="K11" s="20"/>
      <c r="L11" s="20"/>
      <c r="M11" s="20"/>
      <c r="N11" s="20"/>
      <c r="O11" s="54">
        <f t="shared" si="2"/>
        <v>22842645</v>
      </c>
    </row>
    <row r="12" spans="1:15" ht="15">
      <c r="A12" s="57" t="s">
        <v>133</v>
      </c>
      <c r="B12" s="26" t="s">
        <v>134</v>
      </c>
      <c r="C12" s="20">
        <f>C13</f>
        <v>1785185</v>
      </c>
      <c r="D12" s="20"/>
      <c r="E12" s="20"/>
      <c r="F12" s="56"/>
      <c r="G12" s="20">
        <f>G13</f>
        <v>109850</v>
      </c>
      <c r="H12" s="58">
        <f aca="true" t="shared" si="3" ref="H12:N12">H13</f>
        <v>50140</v>
      </c>
      <c r="I12" s="58">
        <f t="shared" si="3"/>
        <v>44700</v>
      </c>
      <c r="J12" s="58">
        <f t="shared" si="3"/>
        <v>102948</v>
      </c>
      <c r="K12" s="58">
        <f t="shared" si="3"/>
        <v>55000</v>
      </c>
      <c r="L12" s="58">
        <f t="shared" si="3"/>
        <v>49012</v>
      </c>
      <c r="M12" s="58">
        <f t="shared" si="3"/>
        <v>48623</v>
      </c>
      <c r="N12" s="58">
        <f t="shared" si="3"/>
        <v>68172</v>
      </c>
      <c r="O12" s="54">
        <f t="shared" si="2"/>
        <v>2313630</v>
      </c>
    </row>
    <row r="13" spans="1:15" ht="15">
      <c r="A13" s="57" t="s">
        <v>25</v>
      </c>
      <c r="B13" s="26" t="s">
        <v>26</v>
      </c>
      <c r="C13" s="20">
        <f>SUM(C14:C16)</f>
        <v>1785185</v>
      </c>
      <c r="D13" s="20"/>
      <c r="E13" s="20"/>
      <c r="F13" s="56"/>
      <c r="G13" s="20">
        <f>SUM(G14:G16)</f>
        <v>109850</v>
      </c>
      <c r="H13" s="20">
        <f aca="true" t="shared" si="4" ref="H13:N13">SUM(H14:H16)</f>
        <v>50140</v>
      </c>
      <c r="I13" s="20">
        <f t="shared" si="4"/>
        <v>44700</v>
      </c>
      <c r="J13" s="20">
        <f t="shared" si="4"/>
        <v>102948</v>
      </c>
      <c r="K13" s="20">
        <f t="shared" si="4"/>
        <v>55000</v>
      </c>
      <c r="L13" s="20">
        <f t="shared" si="4"/>
        <v>49012</v>
      </c>
      <c r="M13" s="20">
        <f t="shared" si="4"/>
        <v>48623</v>
      </c>
      <c r="N13" s="20">
        <f t="shared" si="4"/>
        <v>68172</v>
      </c>
      <c r="O13" s="54">
        <f t="shared" si="2"/>
        <v>2313630</v>
      </c>
    </row>
    <row r="14" spans="1:15" ht="15">
      <c r="A14" s="55" t="s">
        <v>11</v>
      </c>
      <c r="B14" s="26" t="s">
        <v>27</v>
      </c>
      <c r="C14" s="59">
        <v>746892</v>
      </c>
      <c r="D14" s="58"/>
      <c r="E14" s="58"/>
      <c r="F14" s="60"/>
      <c r="G14" s="61">
        <v>93500</v>
      </c>
      <c r="H14" s="58">
        <v>45230</v>
      </c>
      <c r="I14" s="58">
        <v>40000</v>
      </c>
      <c r="J14" s="58">
        <v>92073</v>
      </c>
      <c r="K14" s="20">
        <v>49000</v>
      </c>
      <c r="L14" s="58">
        <v>44812</v>
      </c>
      <c r="M14" s="20">
        <v>45277</v>
      </c>
      <c r="N14" s="62">
        <v>62500</v>
      </c>
      <c r="O14" s="54">
        <f t="shared" si="2"/>
        <v>1219284</v>
      </c>
    </row>
    <row r="15" spans="1:15" ht="15">
      <c r="A15" s="55" t="s">
        <v>12</v>
      </c>
      <c r="B15" s="26" t="s">
        <v>28</v>
      </c>
      <c r="C15" s="58">
        <f>525850+61323</f>
        <v>587173</v>
      </c>
      <c r="D15" s="58"/>
      <c r="E15" s="58"/>
      <c r="F15" s="60"/>
      <c r="G15" s="61">
        <v>4950</v>
      </c>
      <c r="H15" s="58">
        <v>2950</v>
      </c>
      <c r="I15" s="58">
        <v>2200</v>
      </c>
      <c r="J15" s="58">
        <v>4386</v>
      </c>
      <c r="K15" s="20">
        <v>6000</v>
      </c>
      <c r="L15" s="58">
        <v>1400</v>
      </c>
      <c r="M15" s="20">
        <v>674</v>
      </c>
      <c r="N15" s="62">
        <v>1402</v>
      </c>
      <c r="O15" s="54">
        <f t="shared" si="2"/>
        <v>611135</v>
      </c>
    </row>
    <row r="16" spans="1:15" ht="15">
      <c r="A16" s="55" t="s">
        <v>177</v>
      </c>
      <c r="B16" s="26" t="s">
        <v>178</v>
      </c>
      <c r="C16" s="59">
        <v>451120</v>
      </c>
      <c r="D16" s="58"/>
      <c r="E16" s="58"/>
      <c r="F16" s="60"/>
      <c r="G16" s="61">
        <v>11400</v>
      </c>
      <c r="H16" s="58">
        <v>1960</v>
      </c>
      <c r="I16" s="20">
        <v>2500</v>
      </c>
      <c r="J16" s="58">
        <v>6489</v>
      </c>
      <c r="K16" s="58"/>
      <c r="L16" s="58">
        <v>2800</v>
      </c>
      <c r="M16" s="20">
        <v>2672</v>
      </c>
      <c r="N16" s="62">
        <v>4270</v>
      </c>
      <c r="O16" s="54">
        <f>SUM(C16:N16)</f>
        <v>483211</v>
      </c>
    </row>
    <row r="17" spans="1:15" ht="15">
      <c r="A17" s="63" t="s">
        <v>13</v>
      </c>
      <c r="B17" s="64" t="s">
        <v>29</v>
      </c>
      <c r="C17" s="66">
        <v>17717</v>
      </c>
      <c r="D17" s="65"/>
      <c r="E17" s="65"/>
      <c r="F17" s="67"/>
      <c r="G17" s="68"/>
      <c r="H17" s="65"/>
      <c r="I17" s="69"/>
      <c r="J17" s="65"/>
      <c r="K17" s="65"/>
      <c r="L17" s="65"/>
      <c r="M17" s="69"/>
      <c r="N17" s="67"/>
      <c r="O17" s="54">
        <f>SUM(C17:N17)</f>
        <v>17717</v>
      </c>
    </row>
    <row r="18" spans="1:15" ht="15.75" thickBot="1">
      <c r="A18" s="70" t="s">
        <v>436</v>
      </c>
      <c r="B18" s="71" t="s">
        <v>260</v>
      </c>
      <c r="C18" s="72">
        <v>50000</v>
      </c>
      <c r="D18" s="69"/>
      <c r="E18" s="69"/>
      <c r="F18" s="73"/>
      <c r="G18" s="69"/>
      <c r="H18" s="69"/>
      <c r="I18" s="69"/>
      <c r="J18" s="69"/>
      <c r="K18" s="69"/>
      <c r="L18" s="69"/>
      <c r="M18" s="69"/>
      <c r="N18" s="73"/>
      <c r="O18" s="74">
        <f>SUM(C18:N18)</f>
        <v>50000</v>
      </c>
    </row>
    <row r="19" spans="1:15" ht="15.75" thickBot="1">
      <c r="A19" s="46"/>
      <c r="B19" s="47" t="s">
        <v>30</v>
      </c>
      <c r="C19" s="48">
        <f>SUM(C20:C27)</f>
        <v>173575</v>
      </c>
      <c r="D19" s="48">
        <f aca="true" t="shared" si="5" ref="D19:N19">SUM(D20:D27)</f>
        <v>200</v>
      </c>
      <c r="E19" s="48">
        <f t="shared" si="5"/>
        <v>730</v>
      </c>
      <c r="F19" s="48">
        <f t="shared" si="5"/>
        <v>0</v>
      </c>
      <c r="G19" s="48">
        <f t="shared" si="5"/>
        <v>5470</v>
      </c>
      <c r="H19" s="48">
        <f t="shared" si="5"/>
        <v>6820</v>
      </c>
      <c r="I19" s="48">
        <f t="shared" si="5"/>
        <v>100</v>
      </c>
      <c r="J19" s="48">
        <f t="shared" si="5"/>
        <v>43534</v>
      </c>
      <c r="K19" s="48">
        <f t="shared" si="5"/>
        <v>60</v>
      </c>
      <c r="L19" s="48">
        <f t="shared" si="5"/>
        <v>67462</v>
      </c>
      <c r="M19" s="48">
        <f t="shared" si="5"/>
        <v>300</v>
      </c>
      <c r="N19" s="48">
        <f t="shared" si="5"/>
        <v>170</v>
      </c>
      <c r="O19" s="50">
        <f t="shared" si="2"/>
        <v>298421</v>
      </c>
    </row>
    <row r="20" spans="1:15" ht="15">
      <c r="A20" s="75" t="s">
        <v>340</v>
      </c>
      <c r="B20" s="76" t="s">
        <v>341</v>
      </c>
      <c r="C20" s="77">
        <v>60000</v>
      </c>
      <c r="D20" s="35"/>
      <c r="E20" s="35"/>
      <c r="F20" s="34"/>
      <c r="G20" s="35"/>
      <c r="H20" s="34"/>
      <c r="I20" s="34"/>
      <c r="J20" s="34"/>
      <c r="K20" s="34"/>
      <c r="L20" s="34"/>
      <c r="M20" s="34"/>
      <c r="N20" s="34"/>
      <c r="O20" s="78">
        <f t="shared" si="2"/>
        <v>60000</v>
      </c>
    </row>
    <row r="21" spans="1:15" ht="30">
      <c r="A21" s="51" t="s">
        <v>135</v>
      </c>
      <c r="B21" s="52" t="s">
        <v>136</v>
      </c>
      <c r="C21" s="53"/>
      <c r="D21" s="53"/>
      <c r="E21" s="53"/>
      <c r="F21" s="27"/>
      <c r="G21" s="53"/>
      <c r="H21" s="53"/>
      <c r="I21" s="53"/>
      <c r="J21" s="53">
        <v>120</v>
      </c>
      <c r="K21" s="53"/>
      <c r="L21" s="53"/>
      <c r="M21" s="53"/>
      <c r="N21" s="27"/>
      <c r="O21" s="54">
        <f t="shared" si="2"/>
        <v>120</v>
      </c>
    </row>
    <row r="22" spans="1:15" ht="15">
      <c r="A22" s="51" t="s">
        <v>437</v>
      </c>
      <c r="B22" s="52" t="s">
        <v>438</v>
      </c>
      <c r="C22" s="53"/>
      <c r="D22" s="53"/>
      <c r="E22" s="53"/>
      <c r="F22" s="27"/>
      <c r="G22" s="53"/>
      <c r="H22" s="53"/>
      <c r="I22" s="53"/>
      <c r="J22" s="53"/>
      <c r="K22" s="53"/>
      <c r="L22" s="79"/>
      <c r="M22" s="53"/>
      <c r="N22" s="80"/>
      <c r="O22" s="54">
        <f t="shared" si="2"/>
        <v>0</v>
      </c>
    </row>
    <row r="23" spans="1:15" ht="30">
      <c r="A23" s="57" t="s">
        <v>31</v>
      </c>
      <c r="B23" s="26" t="s">
        <v>32</v>
      </c>
      <c r="C23" s="20">
        <v>9000</v>
      </c>
      <c r="D23" s="20">
        <v>200</v>
      </c>
      <c r="E23" s="20"/>
      <c r="F23" s="56"/>
      <c r="G23" s="20"/>
      <c r="H23" s="20">
        <v>200</v>
      </c>
      <c r="I23" s="20">
        <v>100</v>
      </c>
      <c r="J23" s="20">
        <v>2200</v>
      </c>
      <c r="K23" s="20">
        <v>20</v>
      </c>
      <c r="L23" s="58">
        <v>50</v>
      </c>
      <c r="M23" s="20"/>
      <c r="N23" s="62">
        <v>100</v>
      </c>
      <c r="O23" s="54">
        <f t="shared" si="2"/>
        <v>11870</v>
      </c>
    </row>
    <row r="24" spans="1:15" ht="15">
      <c r="A24" s="57" t="s">
        <v>15</v>
      </c>
      <c r="B24" s="26" t="s">
        <v>14</v>
      </c>
      <c r="C24" s="20">
        <v>18000</v>
      </c>
      <c r="D24" s="20"/>
      <c r="E24" s="20"/>
      <c r="F24" s="56"/>
      <c r="G24" s="20">
        <v>1300</v>
      </c>
      <c r="H24" s="20">
        <v>120</v>
      </c>
      <c r="I24" s="20"/>
      <c r="J24" s="20">
        <v>1258</v>
      </c>
      <c r="K24" s="20">
        <v>40</v>
      </c>
      <c r="L24" s="58">
        <v>62</v>
      </c>
      <c r="M24" s="20">
        <v>100</v>
      </c>
      <c r="N24" s="62">
        <v>70</v>
      </c>
      <c r="O24" s="54">
        <f t="shared" si="2"/>
        <v>20950</v>
      </c>
    </row>
    <row r="25" spans="1:15" ht="15">
      <c r="A25" s="57" t="s">
        <v>137</v>
      </c>
      <c r="B25" s="26" t="s">
        <v>138</v>
      </c>
      <c r="C25" s="20">
        <v>30000</v>
      </c>
      <c r="D25" s="20"/>
      <c r="E25" s="20"/>
      <c r="F25" s="56"/>
      <c r="G25" s="20">
        <v>500</v>
      </c>
      <c r="H25" s="20"/>
      <c r="I25" s="20"/>
      <c r="J25" s="20">
        <v>700</v>
      </c>
      <c r="K25" s="20"/>
      <c r="L25" s="20"/>
      <c r="M25" s="20"/>
      <c r="N25" s="56"/>
      <c r="O25" s="54">
        <f t="shared" si="2"/>
        <v>31200</v>
      </c>
    </row>
    <row r="26" spans="1:15" ht="15">
      <c r="A26" s="57" t="s">
        <v>439</v>
      </c>
      <c r="B26" s="26" t="s">
        <v>33</v>
      </c>
      <c r="C26" s="20">
        <f>420000-393425</f>
        <v>26575</v>
      </c>
      <c r="D26" s="20"/>
      <c r="E26" s="20"/>
      <c r="F26" s="56"/>
      <c r="G26" s="20"/>
      <c r="H26" s="20"/>
      <c r="I26" s="20"/>
      <c r="J26" s="20"/>
      <c r="K26" s="20"/>
      <c r="L26" s="20"/>
      <c r="M26" s="20">
        <v>200</v>
      </c>
      <c r="N26" s="56"/>
      <c r="O26" s="54">
        <f t="shared" si="2"/>
        <v>26775</v>
      </c>
    </row>
    <row r="27" spans="1:15" ht="27.75" customHeight="1">
      <c r="A27" s="57" t="s">
        <v>124</v>
      </c>
      <c r="B27" s="26" t="s">
        <v>264</v>
      </c>
      <c r="C27" s="6">
        <v>30000</v>
      </c>
      <c r="D27" s="20"/>
      <c r="E27" s="20">
        <v>730</v>
      </c>
      <c r="F27" s="20"/>
      <c r="G27" s="20">
        <v>3670</v>
      </c>
      <c r="H27" s="60">
        <v>6500</v>
      </c>
      <c r="I27" s="56"/>
      <c r="J27" s="20">
        <v>39256</v>
      </c>
      <c r="K27" s="56"/>
      <c r="L27" s="20">
        <v>67350</v>
      </c>
      <c r="M27" s="56"/>
      <c r="N27" s="56"/>
      <c r="O27" s="54">
        <f t="shared" si="2"/>
        <v>147506</v>
      </c>
    </row>
    <row r="28" spans="1:15" ht="58.5" thickBot="1">
      <c r="A28" s="81" t="s">
        <v>268</v>
      </c>
      <c r="B28" s="82" t="s">
        <v>267</v>
      </c>
      <c r="C28" s="83">
        <f>34958+10100</f>
        <v>45058</v>
      </c>
      <c r="D28" s="83"/>
      <c r="E28" s="83"/>
      <c r="F28" s="84"/>
      <c r="G28" s="83"/>
      <c r="H28" s="84"/>
      <c r="I28" s="84"/>
      <c r="J28" s="83"/>
      <c r="K28" s="84"/>
      <c r="L28" s="83"/>
      <c r="M28" s="84"/>
      <c r="N28" s="84"/>
      <c r="O28" s="54">
        <f t="shared" si="2"/>
        <v>45058</v>
      </c>
    </row>
    <row r="29" spans="1:15" ht="15.75" thickBot="1">
      <c r="A29" s="85" t="s">
        <v>34</v>
      </c>
      <c r="B29" s="47" t="s">
        <v>35</v>
      </c>
      <c r="C29" s="48">
        <f aca="true" t="shared" si="6" ref="C29:N29">SUM(C30:C30)</f>
        <v>19839918</v>
      </c>
      <c r="D29" s="48">
        <f t="shared" si="6"/>
        <v>0</v>
      </c>
      <c r="E29" s="48">
        <f t="shared" si="6"/>
        <v>0</v>
      </c>
      <c r="F29" s="49">
        <f t="shared" si="6"/>
        <v>0</v>
      </c>
      <c r="G29" s="48">
        <f t="shared" si="6"/>
        <v>0</v>
      </c>
      <c r="H29" s="48">
        <f t="shared" si="6"/>
        <v>0</v>
      </c>
      <c r="I29" s="48">
        <f t="shared" si="6"/>
        <v>0</v>
      </c>
      <c r="J29" s="48">
        <f t="shared" si="6"/>
        <v>79469</v>
      </c>
      <c r="K29" s="48">
        <f t="shared" si="6"/>
        <v>0</v>
      </c>
      <c r="L29" s="48">
        <f t="shared" si="6"/>
        <v>8348</v>
      </c>
      <c r="M29" s="48">
        <f t="shared" si="6"/>
        <v>200</v>
      </c>
      <c r="N29" s="48">
        <f t="shared" si="6"/>
        <v>0</v>
      </c>
      <c r="O29" s="50">
        <f t="shared" si="2"/>
        <v>19927935</v>
      </c>
    </row>
    <row r="30" spans="1:15" ht="15.75" customHeight="1" thickBot="1">
      <c r="A30" s="86" t="s">
        <v>176</v>
      </c>
      <c r="B30" s="87" t="s">
        <v>179</v>
      </c>
      <c r="C30" s="53">
        <f>15570452+4269466</f>
        <v>19839918</v>
      </c>
      <c r="D30" s="53"/>
      <c r="E30" s="53"/>
      <c r="F30" s="27"/>
      <c r="G30" s="53"/>
      <c r="H30" s="27"/>
      <c r="I30" s="27"/>
      <c r="J30" s="27">
        <v>79469</v>
      </c>
      <c r="K30" s="27"/>
      <c r="L30" s="27">
        <v>8348</v>
      </c>
      <c r="M30" s="27">
        <v>200</v>
      </c>
      <c r="N30" s="27"/>
      <c r="O30" s="54">
        <f t="shared" si="2"/>
        <v>19927935</v>
      </c>
    </row>
    <row r="31" spans="1:15" ht="15.75" thickBot="1">
      <c r="A31" s="85" t="s">
        <v>36</v>
      </c>
      <c r="B31" s="47" t="s">
        <v>37</v>
      </c>
      <c r="C31" s="49">
        <f>SUM(C32:C34)</f>
        <v>744058</v>
      </c>
      <c r="D31" s="49">
        <f aca="true" t="shared" si="7" ref="D31:N31">SUM(D32:D34)</f>
        <v>0</v>
      </c>
      <c r="E31" s="49">
        <f t="shared" si="7"/>
        <v>0</v>
      </c>
      <c r="F31" s="49">
        <f t="shared" si="7"/>
        <v>0</v>
      </c>
      <c r="G31" s="48">
        <f t="shared" si="7"/>
        <v>0</v>
      </c>
      <c r="H31" s="48">
        <f t="shared" si="7"/>
        <v>0</v>
      </c>
      <c r="I31" s="48">
        <f t="shared" si="7"/>
        <v>0</v>
      </c>
      <c r="J31" s="48">
        <f t="shared" si="7"/>
        <v>80613</v>
      </c>
      <c r="K31" s="48">
        <f t="shared" si="7"/>
        <v>0</v>
      </c>
      <c r="L31" s="48">
        <f t="shared" si="7"/>
        <v>0</v>
      </c>
      <c r="M31" s="48">
        <f t="shared" si="7"/>
        <v>0</v>
      </c>
      <c r="N31" s="48">
        <f t="shared" si="7"/>
        <v>0</v>
      </c>
      <c r="O31" s="50">
        <f t="shared" si="2"/>
        <v>824671</v>
      </c>
    </row>
    <row r="32" spans="1:15" ht="30">
      <c r="A32" s="51" t="s">
        <v>139</v>
      </c>
      <c r="B32" s="52" t="s">
        <v>180</v>
      </c>
      <c r="C32" s="27"/>
      <c r="D32" s="27"/>
      <c r="E32" s="27"/>
      <c r="F32" s="27"/>
      <c r="G32" s="53"/>
      <c r="H32" s="27"/>
      <c r="I32" s="27"/>
      <c r="J32" s="27"/>
      <c r="K32" s="27"/>
      <c r="L32" s="27"/>
      <c r="M32" s="27"/>
      <c r="N32" s="27"/>
      <c r="O32" s="54">
        <f t="shared" si="2"/>
        <v>0</v>
      </c>
    </row>
    <row r="33" spans="1:15" ht="30">
      <c r="A33" s="57" t="s">
        <v>38</v>
      </c>
      <c r="B33" s="26" t="s">
        <v>181</v>
      </c>
      <c r="C33" s="56">
        <v>744058</v>
      </c>
      <c r="D33" s="56"/>
      <c r="E33" s="56"/>
      <c r="F33" s="56"/>
      <c r="G33" s="20"/>
      <c r="H33" s="56"/>
      <c r="I33" s="56"/>
      <c r="J33" s="56">
        <v>80613</v>
      </c>
      <c r="K33" s="56"/>
      <c r="L33" s="20"/>
      <c r="M33" s="56"/>
      <c r="N33" s="56"/>
      <c r="O33" s="54">
        <f t="shared" si="2"/>
        <v>824671</v>
      </c>
    </row>
    <row r="34" spans="1:15" ht="26.25" customHeight="1" thickBot="1">
      <c r="A34" s="70" t="s">
        <v>39</v>
      </c>
      <c r="B34" s="26" t="s">
        <v>292</v>
      </c>
      <c r="C34" s="69"/>
      <c r="D34" s="69"/>
      <c r="E34" s="69"/>
      <c r="F34" s="73"/>
      <c r="G34" s="68"/>
      <c r="H34" s="69"/>
      <c r="I34" s="72"/>
      <c r="J34" s="69"/>
      <c r="K34" s="73"/>
      <c r="L34" s="88"/>
      <c r="M34" s="89"/>
      <c r="N34" s="90"/>
      <c r="O34" s="74">
        <f t="shared" si="2"/>
        <v>0</v>
      </c>
    </row>
    <row r="35" spans="1:15" ht="15.75" thickBot="1">
      <c r="A35" s="85" t="s">
        <v>40</v>
      </c>
      <c r="B35" s="47" t="s">
        <v>41</v>
      </c>
      <c r="C35" s="49">
        <f>SUM(C36,C37,C44)</f>
        <v>515110</v>
      </c>
      <c r="D35" s="49">
        <f aca="true" t="shared" si="8" ref="D35:N35">SUM(D36,D37,D44)</f>
        <v>2197875</v>
      </c>
      <c r="E35" s="49">
        <f t="shared" si="8"/>
        <v>176840</v>
      </c>
      <c r="F35" s="49">
        <f t="shared" si="8"/>
        <v>251978</v>
      </c>
      <c r="G35" s="49">
        <f>SUM(G36,G37,G44)</f>
        <v>60410</v>
      </c>
      <c r="H35" s="49">
        <f t="shared" si="8"/>
        <v>99340</v>
      </c>
      <c r="I35" s="49">
        <f t="shared" si="8"/>
        <v>116832</v>
      </c>
      <c r="J35" s="49">
        <f t="shared" si="8"/>
        <v>652689</v>
      </c>
      <c r="K35" s="49">
        <f t="shared" si="8"/>
        <v>10382</v>
      </c>
      <c r="L35" s="49">
        <f t="shared" si="8"/>
        <v>16417</v>
      </c>
      <c r="M35" s="49">
        <f t="shared" si="8"/>
        <v>12700</v>
      </c>
      <c r="N35" s="49">
        <f t="shared" si="8"/>
        <v>43000</v>
      </c>
      <c r="O35" s="50">
        <f>SUM(C35:N35)</f>
        <v>4153573</v>
      </c>
    </row>
    <row r="36" spans="1:15" ht="31.5">
      <c r="A36" s="91" t="s">
        <v>170</v>
      </c>
      <c r="B36" s="235" t="s">
        <v>171</v>
      </c>
      <c r="C36" s="92">
        <f>97997+3776</f>
        <v>101773</v>
      </c>
      <c r="D36" s="53"/>
      <c r="E36" s="27"/>
      <c r="F36" s="27"/>
      <c r="G36" s="53"/>
      <c r="H36" s="53"/>
      <c r="I36" s="53"/>
      <c r="J36" s="53"/>
      <c r="K36" s="53"/>
      <c r="L36" s="53"/>
      <c r="M36" s="53"/>
      <c r="N36" s="27"/>
      <c r="O36" s="54">
        <f t="shared" si="2"/>
        <v>101773</v>
      </c>
    </row>
    <row r="37" spans="1:15" ht="43.5">
      <c r="A37" s="93" t="s">
        <v>42</v>
      </c>
      <c r="B37" s="94" t="s">
        <v>182</v>
      </c>
      <c r="C37" s="36">
        <f aca="true" t="shared" si="9" ref="C37:I37">SUM(C38:C43)</f>
        <v>413337</v>
      </c>
      <c r="D37" s="36">
        <f t="shared" si="9"/>
        <v>2182020</v>
      </c>
      <c r="E37" s="36">
        <f t="shared" si="9"/>
        <v>175589</v>
      </c>
      <c r="F37" s="36">
        <f t="shared" si="9"/>
        <v>251978</v>
      </c>
      <c r="G37" s="36">
        <f t="shared" si="9"/>
        <v>60410</v>
      </c>
      <c r="H37" s="95">
        <f t="shared" si="9"/>
        <v>98340</v>
      </c>
      <c r="I37" s="36">
        <f t="shared" si="9"/>
        <v>116832</v>
      </c>
      <c r="J37" s="36">
        <f>SUM(J38:J43)</f>
        <v>652689</v>
      </c>
      <c r="K37" s="36">
        <f>SUM(K38:K43)</f>
        <v>10382</v>
      </c>
      <c r="L37" s="36">
        <f>SUM(L38:L43)</f>
        <v>16417</v>
      </c>
      <c r="M37" s="36">
        <f>SUM(M38:M43)</f>
        <v>12700</v>
      </c>
      <c r="N37" s="95">
        <f>SUM(N38:N43)</f>
        <v>43000</v>
      </c>
      <c r="O37" s="54">
        <f>SUM(C37:N37)</f>
        <v>4033694</v>
      </c>
    </row>
    <row r="38" spans="1:15" ht="30">
      <c r="A38" s="55" t="s">
        <v>342</v>
      </c>
      <c r="B38" s="26" t="s">
        <v>440</v>
      </c>
      <c r="C38" s="96"/>
      <c r="D38" s="96"/>
      <c r="E38" s="95"/>
      <c r="F38" s="97"/>
      <c r="G38" s="36"/>
      <c r="H38" s="95"/>
      <c r="I38" s="36"/>
      <c r="J38" s="60">
        <v>170</v>
      </c>
      <c r="K38" s="36"/>
      <c r="L38" s="95"/>
      <c r="M38" s="36"/>
      <c r="N38" s="95"/>
      <c r="O38" s="54">
        <f t="shared" si="2"/>
        <v>170</v>
      </c>
    </row>
    <row r="39" spans="1:15" ht="15">
      <c r="A39" s="55" t="s">
        <v>140</v>
      </c>
      <c r="B39" s="26" t="s">
        <v>141</v>
      </c>
      <c r="C39" s="58">
        <v>183520</v>
      </c>
      <c r="D39" s="58"/>
      <c r="E39" s="60"/>
      <c r="F39" s="56"/>
      <c r="G39" s="20">
        <v>46513</v>
      </c>
      <c r="H39" s="36"/>
      <c r="I39" s="20">
        <v>12716</v>
      </c>
      <c r="J39" s="20">
        <v>70124</v>
      </c>
      <c r="K39" s="36"/>
      <c r="L39" s="36"/>
      <c r="M39" s="36"/>
      <c r="N39" s="97">
        <v>5000</v>
      </c>
      <c r="O39" s="54">
        <f t="shared" si="2"/>
        <v>317873</v>
      </c>
    </row>
    <row r="40" spans="1:15" ht="15">
      <c r="A40" s="55" t="s">
        <v>367</v>
      </c>
      <c r="B40" s="26" t="s">
        <v>293</v>
      </c>
      <c r="C40" s="20"/>
      <c r="D40" s="20"/>
      <c r="E40" s="20"/>
      <c r="F40" s="56"/>
      <c r="G40" s="20"/>
      <c r="H40" s="20"/>
      <c r="I40" s="20"/>
      <c r="J40" s="20"/>
      <c r="K40" s="20"/>
      <c r="L40" s="20"/>
      <c r="M40" s="20"/>
      <c r="N40" s="56"/>
      <c r="O40" s="54">
        <f t="shared" si="2"/>
        <v>0</v>
      </c>
    </row>
    <row r="41" spans="1:15" ht="30">
      <c r="A41" s="55" t="s">
        <v>142</v>
      </c>
      <c r="B41" s="26" t="s">
        <v>368</v>
      </c>
      <c r="C41" s="20"/>
      <c r="D41" s="20"/>
      <c r="E41" s="20"/>
      <c r="F41" s="56"/>
      <c r="G41" s="20"/>
      <c r="H41" s="20">
        <v>10</v>
      </c>
      <c r="I41" s="20"/>
      <c r="J41" s="20">
        <v>30</v>
      </c>
      <c r="K41" s="20"/>
      <c r="L41" s="20"/>
      <c r="M41" s="20"/>
      <c r="N41" s="56"/>
      <c r="O41" s="54">
        <f t="shared" si="2"/>
        <v>40</v>
      </c>
    </row>
    <row r="42" spans="1:15" ht="15">
      <c r="A42" s="55" t="s">
        <v>43</v>
      </c>
      <c r="B42" s="26" t="s">
        <v>44</v>
      </c>
      <c r="C42" s="20">
        <v>217117</v>
      </c>
      <c r="D42" s="20">
        <v>41028</v>
      </c>
      <c r="E42" s="20">
        <f>77944-23735</f>
        <v>54209</v>
      </c>
      <c r="F42" s="20">
        <v>16153</v>
      </c>
      <c r="G42" s="58">
        <v>4980</v>
      </c>
      <c r="H42" s="20">
        <v>10310</v>
      </c>
      <c r="I42" s="20">
        <v>6050</v>
      </c>
      <c r="J42" s="20">
        <v>21915</v>
      </c>
      <c r="K42" s="98">
        <v>2925</v>
      </c>
      <c r="L42" s="20">
        <v>3240</v>
      </c>
      <c r="M42" s="20">
        <f>3200+500</f>
        <v>3700</v>
      </c>
      <c r="N42" s="62">
        <v>6000</v>
      </c>
      <c r="O42" s="54">
        <f t="shared" si="2"/>
        <v>387627</v>
      </c>
    </row>
    <row r="43" spans="1:15" ht="30">
      <c r="A43" s="55" t="s">
        <v>45</v>
      </c>
      <c r="B43" s="26" t="s">
        <v>46</v>
      </c>
      <c r="C43" s="20">
        <f>26700-14000</f>
        <v>12700</v>
      </c>
      <c r="D43" s="20">
        <v>2140992</v>
      </c>
      <c r="E43" s="20">
        <f>207480-86100</f>
        <v>121380</v>
      </c>
      <c r="F43" s="20">
        <f>249557-13732</f>
        <v>235825</v>
      </c>
      <c r="G43" s="99">
        <v>8917</v>
      </c>
      <c r="H43" s="58">
        <v>88020</v>
      </c>
      <c r="I43" s="20">
        <f>91190+6876</f>
        <v>98066</v>
      </c>
      <c r="J43" s="58">
        <v>560450</v>
      </c>
      <c r="K43" s="98">
        <v>7457</v>
      </c>
      <c r="L43" s="58">
        <v>13177</v>
      </c>
      <c r="M43" s="20">
        <v>9000</v>
      </c>
      <c r="N43" s="62">
        <v>32000</v>
      </c>
      <c r="O43" s="54">
        <f>SUM(C43:N43)</f>
        <v>3327984</v>
      </c>
    </row>
    <row r="44" spans="1:15" ht="30" thickBot="1">
      <c r="A44" s="93" t="s">
        <v>274</v>
      </c>
      <c r="B44" s="94" t="s">
        <v>275</v>
      </c>
      <c r="C44" s="83"/>
      <c r="D44" s="83">
        <f>1000+14855</f>
        <v>15855</v>
      </c>
      <c r="E44" s="83">
        <v>1251</v>
      </c>
      <c r="F44" s="84"/>
      <c r="G44" s="100"/>
      <c r="H44" s="83">
        <v>1000</v>
      </c>
      <c r="I44" s="101"/>
      <c r="J44" s="101"/>
      <c r="K44" s="101"/>
      <c r="L44" s="101"/>
      <c r="M44" s="101"/>
      <c r="N44" s="101"/>
      <c r="O44" s="54">
        <f>SUM(C44:N44)</f>
        <v>18106</v>
      </c>
    </row>
    <row r="45" spans="1:15" ht="15.75" thickBot="1">
      <c r="A45" s="102"/>
      <c r="B45" s="103" t="s">
        <v>47</v>
      </c>
      <c r="C45" s="104">
        <f>SUM(C8+C19+C28+C29+C31+C35)</f>
        <v>46013266</v>
      </c>
      <c r="D45" s="104">
        <f>SUM(D8+D19+D28+D29+D31+D35)</f>
        <v>2198075</v>
      </c>
      <c r="E45" s="104">
        <f aca="true" t="shared" si="10" ref="E45:N45">SUM(E8+E19+E28+E29+E31+E35)</f>
        <v>177570</v>
      </c>
      <c r="F45" s="105">
        <f t="shared" si="10"/>
        <v>251978</v>
      </c>
      <c r="G45" s="104">
        <f t="shared" si="10"/>
        <v>175730</v>
      </c>
      <c r="H45" s="104">
        <f t="shared" si="10"/>
        <v>156300</v>
      </c>
      <c r="I45" s="104">
        <f t="shared" si="10"/>
        <v>161632</v>
      </c>
      <c r="J45" s="104">
        <f t="shared" si="10"/>
        <v>959253</v>
      </c>
      <c r="K45" s="104">
        <f t="shared" si="10"/>
        <v>65442</v>
      </c>
      <c r="L45" s="104">
        <f t="shared" si="10"/>
        <v>141239</v>
      </c>
      <c r="M45" s="104">
        <f t="shared" si="10"/>
        <v>61823</v>
      </c>
      <c r="N45" s="104">
        <f t="shared" si="10"/>
        <v>111342</v>
      </c>
      <c r="O45" s="50">
        <f>SUM(C45:N45)</f>
        <v>50473650</v>
      </c>
    </row>
    <row r="46" spans="1:15" ht="15">
      <c r="A46" s="236" t="s">
        <v>369</v>
      </c>
      <c r="B46" s="107" t="s">
        <v>48</v>
      </c>
      <c r="C46" s="106">
        <f>9743892+444502</f>
        <v>10188394</v>
      </c>
      <c r="D46" s="53"/>
      <c r="E46" s="53"/>
      <c r="F46" s="27"/>
      <c r="G46" s="53"/>
      <c r="H46" s="53"/>
      <c r="I46" s="53"/>
      <c r="J46" s="53"/>
      <c r="K46" s="53"/>
      <c r="L46" s="53"/>
      <c r="M46" s="27"/>
      <c r="N46" s="28"/>
      <c r="O46" s="179">
        <f t="shared" si="2"/>
        <v>10188394</v>
      </c>
    </row>
    <row r="47" spans="1:15" ht="15">
      <c r="A47" s="237"/>
      <c r="B47" s="109" t="s">
        <v>49</v>
      </c>
      <c r="C47" s="110">
        <f aca="true" t="shared" si="11" ref="C47:N47">SUM(C45:C46)</f>
        <v>56201660</v>
      </c>
      <c r="D47" s="108">
        <f t="shared" si="11"/>
        <v>2198075</v>
      </c>
      <c r="E47" s="108">
        <f t="shared" si="11"/>
        <v>177570</v>
      </c>
      <c r="F47" s="111">
        <f t="shared" si="11"/>
        <v>251978</v>
      </c>
      <c r="G47" s="108">
        <f t="shared" si="11"/>
        <v>175730</v>
      </c>
      <c r="H47" s="108">
        <f t="shared" si="11"/>
        <v>156300</v>
      </c>
      <c r="I47" s="108">
        <f t="shared" si="11"/>
        <v>161632</v>
      </c>
      <c r="J47" s="108">
        <f t="shared" si="11"/>
        <v>959253</v>
      </c>
      <c r="K47" s="108">
        <f t="shared" si="11"/>
        <v>65442</v>
      </c>
      <c r="L47" s="108">
        <f t="shared" si="11"/>
        <v>141239</v>
      </c>
      <c r="M47" s="111">
        <f t="shared" si="11"/>
        <v>61823</v>
      </c>
      <c r="N47" s="108">
        <f t="shared" si="11"/>
        <v>111342</v>
      </c>
      <c r="O47" s="238">
        <f t="shared" si="2"/>
        <v>60662044</v>
      </c>
    </row>
    <row r="48" spans="1:15" ht="18" customHeight="1">
      <c r="A48" s="239" t="s">
        <v>272</v>
      </c>
      <c r="B48" s="112" t="s">
        <v>441</v>
      </c>
      <c r="C48" s="114">
        <f>9780793</f>
        <v>9780793</v>
      </c>
      <c r="D48" s="20">
        <v>2073288</v>
      </c>
      <c r="E48" s="20">
        <v>127045</v>
      </c>
      <c r="F48" s="20">
        <v>77341</v>
      </c>
      <c r="G48" s="58">
        <v>282203</v>
      </c>
      <c r="H48" s="20">
        <v>50867</v>
      </c>
      <c r="I48" s="20">
        <v>174925</v>
      </c>
      <c r="J48" s="20">
        <f>293443+4128</f>
        <v>297571</v>
      </c>
      <c r="K48" s="98">
        <v>84426</v>
      </c>
      <c r="L48" s="20">
        <v>19232</v>
      </c>
      <c r="M48" s="20">
        <v>39166</v>
      </c>
      <c r="N48" s="20">
        <v>59889</v>
      </c>
      <c r="O48" s="238">
        <f t="shared" si="2"/>
        <v>13066746</v>
      </c>
    </row>
    <row r="49" spans="1:15" ht="15">
      <c r="A49" s="239" t="s">
        <v>172</v>
      </c>
      <c r="B49" s="33" t="s">
        <v>173</v>
      </c>
      <c r="C49" s="113"/>
      <c r="D49" s="20"/>
      <c r="E49" s="20"/>
      <c r="F49" s="56"/>
      <c r="G49" s="20"/>
      <c r="H49" s="20"/>
      <c r="I49" s="20"/>
      <c r="J49" s="20"/>
      <c r="K49" s="20"/>
      <c r="L49" s="20"/>
      <c r="M49" s="56"/>
      <c r="N49" s="20"/>
      <c r="O49" s="238">
        <f t="shared" si="2"/>
        <v>0</v>
      </c>
    </row>
    <row r="50" spans="1:15" ht="15.75" thickBot="1">
      <c r="A50" s="240"/>
      <c r="B50" s="241" t="s">
        <v>50</v>
      </c>
      <c r="C50" s="242">
        <f aca="true" t="shared" si="12" ref="C50:O50">SUM(C47:C48)</f>
        <v>65982453</v>
      </c>
      <c r="D50" s="242">
        <f t="shared" si="12"/>
        <v>4271363</v>
      </c>
      <c r="E50" s="242">
        <f t="shared" si="12"/>
        <v>304615</v>
      </c>
      <c r="F50" s="242">
        <f t="shared" si="12"/>
        <v>329319</v>
      </c>
      <c r="G50" s="242">
        <f t="shared" si="12"/>
        <v>457933</v>
      </c>
      <c r="H50" s="242">
        <f t="shared" si="12"/>
        <v>207167</v>
      </c>
      <c r="I50" s="242">
        <f t="shared" si="12"/>
        <v>336557</v>
      </c>
      <c r="J50" s="242">
        <f t="shared" si="12"/>
        <v>1256824</v>
      </c>
      <c r="K50" s="242">
        <f t="shared" si="12"/>
        <v>149868</v>
      </c>
      <c r="L50" s="242">
        <f t="shared" si="12"/>
        <v>160471</v>
      </c>
      <c r="M50" s="242">
        <f t="shared" si="12"/>
        <v>100989</v>
      </c>
      <c r="N50" s="242">
        <f t="shared" si="12"/>
        <v>171231</v>
      </c>
      <c r="O50" s="243">
        <f t="shared" si="12"/>
        <v>73728790</v>
      </c>
    </row>
    <row r="51" spans="1:15" ht="15">
      <c r="A51" s="192"/>
      <c r="B51" s="210"/>
      <c r="C51" s="211"/>
      <c r="D51" s="192"/>
      <c r="E51" s="192"/>
      <c r="F51" s="192"/>
      <c r="G51" s="194"/>
      <c r="H51" s="194"/>
      <c r="I51" s="194"/>
      <c r="J51" s="194"/>
      <c r="K51" s="194"/>
      <c r="L51" s="194"/>
      <c r="M51" s="194"/>
      <c r="N51" s="194"/>
      <c r="O51" s="194"/>
    </row>
    <row r="52" spans="1:15" ht="15">
      <c r="A52" s="192"/>
      <c r="B52" s="210"/>
      <c r="C52" s="212"/>
      <c r="D52" s="192"/>
      <c r="E52" s="192"/>
      <c r="F52" s="192"/>
      <c r="G52" s="194"/>
      <c r="H52" s="194"/>
      <c r="I52" s="194"/>
      <c r="J52" s="194"/>
      <c r="K52" s="194"/>
      <c r="L52" s="194"/>
      <c r="M52" s="194"/>
      <c r="N52" s="194"/>
      <c r="O52" s="194"/>
    </row>
    <row r="53" spans="1:15" ht="15">
      <c r="A53" s="32"/>
      <c r="B53" s="202" t="s">
        <v>271</v>
      </c>
      <c r="C53" s="32"/>
      <c r="D53" s="32" t="s">
        <v>20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193"/>
    </row>
    <row r="54" spans="1:15" ht="15">
      <c r="A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193"/>
    </row>
    <row r="55" spans="1:15" ht="15">
      <c r="A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193"/>
    </row>
    <row r="56" spans="1:15" ht="15">
      <c r="A56" s="192"/>
      <c r="B56" s="210"/>
      <c r="C56" s="32"/>
      <c r="D56" s="213"/>
      <c r="E56" s="214"/>
      <c r="F56" s="214"/>
      <c r="G56" s="32"/>
      <c r="H56" s="32"/>
      <c r="I56" s="32"/>
      <c r="J56" s="246"/>
      <c r="K56" s="246"/>
      <c r="L56" s="246"/>
      <c r="M56" s="246"/>
      <c r="N56" s="247"/>
      <c r="O56" s="215" t="s">
        <v>51</v>
      </c>
    </row>
    <row r="57" spans="1:15" ht="15">
      <c r="A57" s="192"/>
      <c r="B57" s="210"/>
      <c r="C57" s="32"/>
      <c r="D57" s="32"/>
      <c r="E57" s="216"/>
      <c r="F57" s="216"/>
      <c r="G57" s="32"/>
      <c r="H57" s="32"/>
      <c r="I57" s="32"/>
      <c r="J57" s="246"/>
      <c r="K57" s="246"/>
      <c r="L57" s="246"/>
      <c r="M57" s="246"/>
      <c r="N57" s="247"/>
      <c r="O57" s="215" t="s">
        <v>422</v>
      </c>
    </row>
    <row r="58" spans="1:15" ht="15">
      <c r="A58" s="217"/>
      <c r="B58" s="82"/>
      <c r="C58" s="32"/>
      <c r="D58" s="32"/>
      <c r="E58" s="216"/>
      <c r="F58" s="216"/>
      <c r="G58" s="32"/>
      <c r="H58" s="32"/>
      <c r="I58" s="32"/>
      <c r="J58" s="246"/>
      <c r="K58" s="246"/>
      <c r="L58" s="246"/>
      <c r="M58" s="246"/>
      <c r="N58" s="247"/>
      <c r="O58" s="215" t="s">
        <v>545</v>
      </c>
    </row>
    <row r="59" spans="1:15" ht="15">
      <c r="A59" s="217"/>
      <c r="B59" s="82"/>
      <c r="C59" s="32"/>
      <c r="D59" s="32"/>
      <c r="E59" s="216"/>
      <c r="F59" s="216"/>
      <c r="G59" s="32"/>
      <c r="H59" s="32"/>
      <c r="I59" s="32"/>
      <c r="J59" s="32"/>
      <c r="K59" s="32"/>
      <c r="L59" s="32"/>
      <c r="M59" s="32"/>
      <c r="N59" s="32"/>
      <c r="O59" s="193"/>
    </row>
    <row r="60" spans="1:15" ht="39.75" customHeight="1" thickBot="1">
      <c r="A60" s="249" t="s">
        <v>482</v>
      </c>
      <c r="B60" s="249"/>
      <c r="C60" s="249"/>
      <c r="D60" s="249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193"/>
    </row>
    <row r="61" spans="1:15" ht="90.75" thickBot="1">
      <c r="A61" s="115" t="s">
        <v>9</v>
      </c>
      <c r="B61" s="116" t="s">
        <v>129</v>
      </c>
      <c r="C61" s="43" t="s">
        <v>423</v>
      </c>
      <c r="D61" s="117" t="s">
        <v>424</v>
      </c>
      <c r="E61" s="43" t="s">
        <v>425</v>
      </c>
      <c r="F61" s="43" t="s">
        <v>426</v>
      </c>
      <c r="G61" s="118" t="s">
        <v>427</v>
      </c>
      <c r="H61" s="118" t="s">
        <v>428</v>
      </c>
      <c r="I61" s="118" t="s">
        <v>429</v>
      </c>
      <c r="J61" s="118" t="s">
        <v>430</v>
      </c>
      <c r="K61" s="118" t="s">
        <v>431</v>
      </c>
      <c r="L61" s="118" t="s">
        <v>432</v>
      </c>
      <c r="M61" s="118" t="s">
        <v>433</v>
      </c>
      <c r="N61" s="119" t="s">
        <v>434</v>
      </c>
      <c r="O61" s="120" t="s">
        <v>435</v>
      </c>
    </row>
    <row r="62" spans="1:15" ht="15.75" thickBot="1">
      <c r="A62" s="121" t="s">
        <v>52</v>
      </c>
      <c r="B62" s="47" t="s">
        <v>53</v>
      </c>
      <c r="C62" s="49">
        <f>C63+C64+C65+C67+C68+C72</f>
        <v>4134491</v>
      </c>
      <c r="D62" s="49">
        <f aca="true" t="shared" si="13" ref="D62:N62">D63+D64+D65+D67+D68+D72</f>
        <v>0</v>
      </c>
      <c r="E62" s="49">
        <f t="shared" si="13"/>
        <v>0</v>
      </c>
      <c r="F62" s="49">
        <f t="shared" si="13"/>
        <v>0</v>
      </c>
      <c r="G62" s="49">
        <f t="shared" si="13"/>
        <v>151143</v>
      </c>
      <c r="H62" s="49">
        <f t="shared" si="13"/>
        <v>84751</v>
      </c>
      <c r="I62" s="49">
        <f t="shared" si="13"/>
        <v>118921</v>
      </c>
      <c r="J62" s="49">
        <f t="shared" si="13"/>
        <v>165317</v>
      </c>
      <c r="K62" s="49">
        <f t="shared" si="13"/>
        <v>110380</v>
      </c>
      <c r="L62" s="49">
        <f t="shared" si="13"/>
        <v>62561</v>
      </c>
      <c r="M62" s="49">
        <f t="shared" si="13"/>
        <v>67914</v>
      </c>
      <c r="N62" s="49">
        <f t="shared" si="13"/>
        <v>121989</v>
      </c>
      <c r="O62" s="50">
        <f>SUM(C62:N62)</f>
        <v>5017467</v>
      </c>
    </row>
    <row r="63" spans="1:15" ht="29.25">
      <c r="A63" s="122" t="s">
        <v>183</v>
      </c>
      <c r="B63" s="123" t="s">
        <v>184</v>
      </c>
      <c r="C63" s="124">
        <f>2848722+11513</f>
        <v>2860235</v>
      </c>
      <c r="D63" s="53"/>
      <c r="E63" s="53"/>
      <c r="F63" s="28"/>
      <c r="G63" s="37">
        <v>151091</v>
      </c>
      <c r="H63" s="125">
        <v>84571</v>
      </c>
      <c r="I63" s="37">
        <v>116464</v>
      </c>
      <c r="J63" s="125">
        <v>159050</v>
      </c>
      <c r="K63" s="37">
        <v>110380</v>
      </c>
      <c r="L63" s="37">
        <v>62501</v>
      </c>
      <c r="M63" s="37">
        <v>67614</v>
      </c>
      <c r="N63" s="126">
        <v>121429</v>
      </c>
      <c r="O63" s="127">
        <f>SUM(C63:N63)</f>
        <v>3733335</v>
      </c>
    </row>
    <row r="64" spans="1:15" ht="29.25">
      <c r="A64" s="128" t="s">
        <v>370</v>
      </c>
      <c r="B64" s="123" t="s">
        <v>541</v>
      </c>
      <c r="C64" s="124">
        <v>3160</v>
      </c>
      <c r="D64" s="27"/>
      <c r="E64" s="53"/>
      <c r="F64" s="27"/>
      <c r="G64" s="92"/>
      <c r="H64" s="92"/>
      <c r="I64" s="92"/>
      <c r="J64" s="126"/>
      <c r="K64" s="124"/>
      <c r="L64" s="124"/>
      <c r="M64" s="36"/>
      <c r="N64" s="126"/>
      <c r="O64" s="54">
        <f>SUM(C64:N64)</f>
        <v>3160</v>
      </c>
    </row>
    <row r="65" spans="1:15" ht="15">
      <c r="A65" s="129" t="s">
        <v>54</v>
      </c>
      <c r="B65" s="94" t="s">
        <v>55</v>
      </c>
      <c r="C65" s="97">
        <f>SUM(C66:C66)</f>
        <v>144787</v>
      </c>
      <c r="D65" s="97">
        <f>SUM(D66:D66)</f>
        <v>0</v>
      </c>
      <c r="E65" s="36"/>
      <c r="F65" s="97"/>
      <c r="G65" s="36">
        <f aca="true" t="shared" si="14" ref="G65:N65">SUM(G66:G66)</f>
        <v>52</v>
      </c>
      <c r="H65" s="36">
        <f t="shared" si="14"/>
        <v>180</v>
      </c>
      <c r="I65" s="36">
        <f t="shared" si="14"/>
        <v>350</v>
      </c>
      <c r="J65" s="97">
        <f t="shared" si="14"/>
        <v>152</v>
      </c>
      <c r="K65" s="97">
        <f t="shared" si="14"/>
        <v>0</v>
      </c>
      <c r="L65" s="97">
        <f t="shared" si="14"/>
        <v>60</v>
      </c>
      <c r="M65" s="97">
        <f t="shared" si="14"/>
        <v>300</v>
      </c>
      <c r="N65" s="97">
        <f t="shared" si="14"/>
        <v>560</v>
      </c>
      <c r="O65" s="130">
        <f aca="true" t="shared" si="15" ref="O65:O130">SUM(C65:N65)</f>
        <v>146441</v>
      </c>
    </row>
    <row r="66" spans="1:15" ht="30">
      <c r="A66" s="55" t="s">
        <v>56</v>
      </c>
      <c r="B66" s="26" t="s">
        <v>57</v>
      </c>
      <c r="C66" s="56">
        <v>144787</v>
      </c>
      <c r="D66" s="20"/>
      <c r="E66" s="20"/>
      <c r="F66" s="56"/>
      <c r="G66" s="20">
        <v>52</v>
      </c>
      <c r="H66" s="20">
        <v>180</v>
      </c>
      <c r="I66" s="20">
        <v>350</v>
      </c>
      <c r="J66" s="20">
        <v>152</v>
      </c>
      <c r="K66" s="20"/>
      <c r="L66" s="20">
        <v>60</v>
      </c>
      <c r="M66" s="20">
        <v>300</v>
      </c>
      <c r="N66" s="20">
        <v>560</v>
      </c>
      <c r="O66" s="130">
        <f t="shared" si="15"/>
        <v>146441</v>
      </c>
    </row>
    <row r="67" spans="1:15" ht="29.25">
      <c r="A67" s="129" t="s">
        <v>185</v>
      </c>
      <c r="B67" s="131" t="s">
        <v>186</v>
      </c>
      <c r="C67" s="56">
        <f>14800+86657</f>
        <v>101457</v>
      </c>
      <c r="D67" s="56"/>
      <c r="E67" s="20"/>
      <c r="F67" s="56"/>
      <c r="G67" s="20"/>
      <c r="H67" s="20"/>
      <c r="I67" s="20"/>
      <c r="J67" s="56"/>
      <c r="K67" s="56"/>
      <c r="L67" s="56"/>
      <c r="M67" s="56"/>
      <c r="N67" s="56"/>
      <c r="O67" s="130">
        <f t="shared" si="15"/>
        <v>101457</v>
      </c>
    </row>
    <row r="68" spans="1:15" ht="29.25">
      <c r="A68" s="129" t="s">
        <v>58</v>
      </c>
      <c r="B68" s="131" t="s">
        <v>59</v>
      </c>
      <c r="C68" s="97">
        <f>SUM(C69:C71)</f>
        <v>895950</v>
      </c>
      <c r="D68" s="97">
        <f aca="true" t="shared" si="16" ref="D68:N68">SUM(D69:D71)</f>
        <v>0</v>
      </c>
      <c r="E68" s="97">
        <f t="shared" si="16"/>
        <v>0</v>
      </c>
      <c r="F68" s="97">
        <f t="shared" si="16"/>
        <v>0</v>
      </c>
      <c r="G68" s="36">
        <f t="shared" si="16"/>
        <v>0</v>
      </c>
      <c r="H68" s="97">
        <f t="shared" si="16"/>
        <v>0</v>
      </c>
      <c r="I68" s="97">
        <f t="shared" si="16"/>
        <v>0</v>
      </c>
      <c r="J68" s="97">
        <f t="shared" si="16"/>
        <v>0</v>
      </c>
      <c r="K68" s="97">
        <f t="shared" si="16"/>
        <v>0</v>
      </c>
      <c r="L68" s="97">
        <f t="shared" si="16"/>
        <v>0</v>
      </c>
      <c r="M68" s="97">
        <f t="shared" si="16"/>
        <v>0</v>
      </c>
      <c r="N68" s="97">
        <f t="shared" si="16"/>
        <v>0</v>
      </c>
      <c r="O68" s="130">
        <f>SUM(C68:N68)</f>
        <v>895950</v>
      </c>
    </row>
    <row r="69" spans="1:15" ht="30">
      <c r="A69" s="132" t="s">
        <v>301</v>
      </c>
      <c r="B69" s="26" t="s">
        <v>60</v>
      </c>
      <c r="C69" s="56">
        <f>600000+444</f>
        <v>600444</v>
      </c>
      <c r="D69" s="20"/>
      <c r="E69" s="20"/>
      <c r="F69" s="56"/>
      <c r="G69" s="20"/>
      <c r="H69" s="20"/>
      <c r="I69" s="20"/>
      <c r="J69" s="20"/>
      <c r="K69" s="20"/>
      <c r="L69" s="20"/>
      <c r="M69" s="20"/>
      <c r="N69" s="56"/>
      <c r="O69" s="130">
        <f t="shared" si="15"/>
        <v>600444</v>
      </c>
    </row>
    <row r="70" spans="1:15" ht="30">
      <c r="A70" s="132" t="s">
        <v>302</v>
      </c>
      <c r="B70" s="26" t="s">
        <v>269</v>
      </c>
      <c r="C70" s="133">
        <v>145506</v>
      </c>
      <c r="D70" s="20"/>
      <c r="E70" s="20"/>
      <c r="F70" s="56"/>
      <c r="G70" s="20"/>
      <c r="H70" s="20">
        <f>17331-17331</f>
        <v>0</v>
      </c>
      <c r="I70" s="20"/>
      <c r="J70" s="20"/>
      <c r="K70" s="20"/>
      <c r="L70" s="20"/>
      <c r="M70" s="20"/>
      <c r="N70" s="56">
        <f>12000-12000</f>
        <v>0</v>
      </c>
      <c r="O70" s="130">
        <f t="shared" si="15"/>
        <v>145506</v>
      </c>
    </row>
    <row r="71" spans="1:15" ht="45">
      <c r="A71" s="132" t="s">
        <v>303</v>
      </c>
      <c r="B71" s="71" t="s">
        <v>371</v>
      </c>
      <c r="C71" s="73">
        <v>150000</v>
      </c>
      <c r="D71" s="69"/>
      <c r="E71" s="69"/>
      <c r="F71" s="73"/>
      <c r="G71" s="69"/>
      <c r="H71" s="69"/>
      <c r="I71" s="69"/>
      <c r="J71" s="69"/>
      <c r="K71" s="69"/>
      <c r="L71" s="69"/>
      <c r="M71" s="69"/>
      <c r="N71" s="73"/>
      <c r="O71" s="130">
        <f t="shared" si="15"/>
        <v>150000</v>
      </c>
    </row>
    <row r="72" spans="1:15" s="206" customFormat="1" ht="15" thickBot="1">
      <c r="A72" s="134" t="s">
        <v>61</v>
      </c>
      <c r="B72" s="135" t="s">
        <v>187</v>
      </c>
      <c r="C72" s="137">
        <f>615000-486098</f>
        <v>128902</v>
      </c>
      <c r="D72" s="138"/>
      <c r="E72" s="138"/>
      <c r="F72" s="136"/>
      <c r="G72" s="139"/>
      <c r="H72" s="138"/>
      <c r="I72" s="138">
        <v>2107</v>
      </c>
      <c r="J72" s="138">
        <v>6115</v>
      </c>
      <c r="K72" s="138"/>
      <c r="L72" s="138"/>
      <c r="M72" s="138"/>
      <c r="N72" s="136"/>
      <c r="O72" s="140">
        <f t="shared" si="15"/>
        <v>137124</v>
      </c>
    </row>
    <row r="73" spans="1:15" ht="15.75" thickBot="1">
      <c r="A73" s="85" t="s">
        <v>62</v>
      </c>
      <c r="B73" s="47" t="s">
        <v>63</v>
      </c>
      <c r="C73" s="49">
        <f>SUM(C74:C75,C77:C78)</f>
        <v>874819</v>
      </c>
      <c r="D73" s="49">
        <f aca="true" t="shared" si="17" ref="D73:N73">SUM(D74:D75,D77:D78)</f>
        <v>0</v>
      </c>
      <c r="E73" s="49">
        <f t="shared" si="17"/>
        <v>0</v>
      </c>
      <c r="F73" s="49">
        <f t="shared" si="17"/>
        <v>0</v>
      </c>
      <c r="G73" s="49">
        <f t="shared" si="17"/>
        <v>7382</v>
      </c>
      <c r="H73" s="49">
        <f t="shared" si="17"/>
        <v>0</v>
      </c>
      <c r="I73" s="49">
        <f t="shared" si="17"/>
        <v>0</v>
      </c>
      <c r="J73" s="49">
        <f t="shared" si="17"/>
        <v>5200</v>
      </c>
      <c r="K73" s="49">
        <f t="shared" si="17"/>
        <v>0</v>
      </c>
      <c r="L73" s="49">
        <f t="shared" si="17"/>
        <v>0</v>
      </c>
      <c r="M73" s="49">
        <f t="shared" si="17"/>
        <v>0</v>
      </c>
      <c r="N73" s="49">
        <f t="shared" si="17"/>
        <v>700</v>
      </c>
      <c r="O73" s="50">
        <f t="shared" si="15"/>
        <v>888101</v>
      </c>
    </row>
    <row r="74" spans="1:15" ht="15">
      <c r="A74" s="122" t="s">
        <v>188</v>
      </c>
      <c r="B74" s="123" t="s">
        <v>18</v>
      </c>
      <c r="C74" s="141">
        <f>594629-30000</f>
        <v>564629</v>
      </c>
      <c r="D74" s="53"/>
      <c r="E74" s="53"/>
      <c r="F74" s="27"/>
      <c r="G74" s="53"/>
      <c r="H74" s="53"/>
      <c r="I74" s="53"/>
      <c r="J74" s="53"/>
      <c r="K74" s="53"/>
      <c r="L74" s="53"/>
      <c r="M74" s="53"/>
      <c r="N74" s="27"/>
      <c r="O74" s="127">
        <f t="shared" si="15"/>
        <v>564629</v>
      </c>
    </row>
    <row r="75" spans="1:15" ht="29.25">
      <c r="A75" s="129" t="s">
        <v>261</v>
      </c>
      <c r="B75" s="142" t="s">
        <v>263</v>
      </c>
      <c r="C75" s="97">
        <f aca="true" t="shared" si="18" ref="C75:N75">SUM(C76:C76)</f>
        <v>213172</v>
      </c>
      <c r="D75" s="97">
        <f t="shared" si="18"/>
        <v>0</v>
      </c>
      <c r="E75" s="97">
        <f t="shared" si="18"/>
        <v>0</v>
      </c>
      <c r="F75" s="97">
        <f t="shared" si="18"/>
        <v>0</v>
      </c>
      <c r="G75" s="97">
        <f t="shared" si="18"/>
        <v>0</v>
      </c>
      <c r="H75" s="97">
        <f t="shared" si="18"/>
        <v>0</v>
      </c>
      <c r="I75" s="97">
        <f t="shared" si="18"/>
        <v>0</v>
      </c>
      <c r="J75" s="97">
        <f t="shared" si="18"/>
        <v>0</v>
      </c>
      <c r="K75" s="97">
        <f t="shared" si="18"/>
        <v>0</v>
      </c>
      <c r="L75" s="97">
        <f t="shared" si="18"/>
        <v>0</v>
      </c>
      <c r="M75" s="97">
        <f t="shared" si="18"/>
        <v>0</v>
      </c>
      <c r="N75" s="143">
        <f t="shared" si="18"/>
        <v>0</v>
      </c>
      <c r="O75" s="54">
        <f>SUM(C75:N75)</f>
        <v>213172</v>
      </c>
    </row>
    <row r="76" spans="1:15" ht="30">
      <c r="A76" s="164" t="s">
        <v>304</v>
      </c>
      <c r="B76" s="144" t="s">
        <v>535</v>
      </c>
      <c r="C76" s="145">
        <f>1725+211447</f>
        <v>213172</v>
      </c>
      <c r="D76" s="83"/>
      <c r="E76" s="83"/>
      <c r="F76" s="84"/>
      <c r="G76" s="83"/>
      <c r="H76" s="83"/>
      <c r="I76" s="83"/>
      <c r="J76" s="83"/>
      <c r="K76" s="83"/>
      <c r="L76" s="83"/>
      <c r="M76" s="83"/>
      <c r="N76" s="84"/>
      <c r="O76" s="130">
        <f t="shared" si="15"/>
        <v>213172</v>
      </c>
    </row>
    <row r="77" spans="1:15" s="206" customFormat="1" ht="28.5">
      <c r="A77" s="129" t="s">
        <v>64</v>
      </c>
      <c r="B77" s="94" t="s">
        <v>189</v>
      </c>
      <c r="C77" s="36">
        <v>35018</v>
      </c>
      <c r="D77" s="36"/>
      <c r="E77" s="36"/>
      <c r="F77" s="97"/>
      <c r="G77" s="36">
        <v>7382</v>
      </c>
      <c r="H77" s="36"/>
      <c r="I77" s="36"/>
      <c r="J77" s="36">
        <v>5200</v>
      </c>
      <c r="K77" s="36"/>
      <c r="L77" s="36"/>
      <c r="M77" s="36"/>
      <c r="N77" s="143">
        <v>700</v>
      </c>
      <c r="O77" s="130">
        <f t="shared" si="15"/>
        <v>48300</v>
      </c>
    </row>
    <row r="78" spans="1:15" s="206" customFormat="1" ht="15" thickBot="1">
      <c r="A78" s="158" t="s">
        <v>343</v>
      </c>
      <c r="B78" s="146" t="s">
        <v>344</v>
      </c>
      <c r="C78" s="147">
        <v>62000</v>
      </c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30">
        <f t="shared" si="15"/>
        <v>62000</v>
      </c>
    </row>
    <row r="79" spans="1:15" ht="15.75" thickBot="1">
      <c r="A79" s="85" t="s">
        <v>1</v>
      </c>
      <c r="B79" s="47" t="s">
        <v>65</v>
      </c>
      <c r="C79" s="49">
        <f aca="true" t="shared" si="19" ref="C79:N79">SUM(C80,C87,C91:C93,C112,C114)</f>
        <v>13990379</v>
      </c>
      <c r="D79" s="49">
        <f t="shared" si="19"/>
        <v>205980</v>
      </c>
      <c r="E79" s="49">
        <f t="shared" si="19"/>
        <v>0</v>
      </c>
      <c r="F79" s="49">
        <f t="shared" si="19"/>
        <v>0</v>
      </c>
      <c r="G79" s="49">
        <f t="shared" si="19"/>
        <v>169338</v>
      </c>
      <c r="H79" s="49">
        <f t="shared" si="19"/>
        <v>66288</v>
      </c>
      <c r="I79" s="49">
        <f t="shared" si="19"/>
        <v>132529</v>
      </c>
      <c r="J79" s="49">
        <f t="shared" si="19"/>
        <v>127607</v>
      </c>
      <c r="K79" s="49">
        <f t="shared" si="19"/>
        <v>43866</v>
      </c>
      <c r="L79" s="49">
        <f t="shared" si="19"/>
        <v>53069</v>
      </c>
      <c r="M79" s="49">
        <f t="shared" si="19"/>
        <v>36916</v>
      </c>
      <c r="N79" s="49">
        <f t="shared" si="19"/>
        <v>50896</v>
      </c>
      <c r="O79" s="50">
        <f>SUM(C79:N79)</f>
        <v>14876868</v>
      </c>
    </row>
    <row r="80" spans="1:15" ht="15">
      <c r="A80" s="122" t="s">
        <v>66</v>
      </c>
      <c r="B80" s="92" t="s">
        <v>67</v>
      </c>
      <c r="C80" s="124">
        <f aca="true" t="shared" si="20" ref="C80:N80">SUM(C81:C86)</f>
        <v>5243988</v>
      </c>
      <c r="D80" s="124">
        <f t="shared" si="20"/>
        <v>0</v>
      </c>
      <c r="E80" s="124">
        <f t="shared" si="20"/>
        <v>0</v>
      </c>
      <c r="F80" s="124">
        <f t="shared" si="20"/>
        <v>0</v>
      </c>
      <c r="G80" s="92">
        <f t="shared" si="20"/>
        <v>0</v>
      </c>
      <c r="H80" s="124">
        <f t="shared" si="20"/>
        <v>0</v>
      </c>
      <c r="I80" s="124">
        <f t="shared" si="20"/>
        <v>0</v>
      </c>
      <c r="J80" s="124">
        <f t="shared" si="20"/>
        <v>0</v>
      </c>
      <c r="K80" s="124">
        <f t="shared" si="20"/>
        <v>0</v>
      </c>
      <c r="L80" s="124">
        <f t="shared" si="20"/>
        <v>0</v>
      </c>
      <c r="M80" s="124">
        <f t="shared" si="20"/>
        <v>0</v>
      </c>
      <c r="N80" s="124">
        <f t="shared" si="20"/>
        <v>0</v>
      </c>
      <c r="O80" s="127">
        <f aca="true" t="shared" si="21" ref="O80:O90">SUM(C80:N80)</f>
        <v>5243988</v>
      </c>
    </row>
    <row r="81" spans="1:15" ht="15">
      <c r="A81" s="148" t="s">
        <v>190</v>
      </c>
      <c r="B81" s="53" t="s">
        <v>191</v>
      </c>
      <c r="C81" s="141">
        <f>15000-645</f>
        <v>14355</v>
      </c>
      <c r="D81" s="53"/>
      <c r="E81" s="53"/>
      <c r="F81" s="27"/>
      <c r="G81" s="53"/>
      <c r="H81" s="53"/>
      <c r="I81" s="53"/>
      <c r="J81" s="53"/>
      <c r="K81" s="53"/>
      <c r="L81" s="53"/>
      <c r="M81" s="53"/>
      <c r="N81" s="27"/>
      <c r="O81" s="149">
        <f t="shared" si="21"/>
        <v>14355</v>
      </c>
    </row>
    <row r="82" spans="1:15" ht="30">
      <c r="A82" s="148" t="s">
        <v>305</v>
      </c>
      <c r="B82" s="38" t="s">
        <v>372</v>
      </c>
      <c r="C82" s="27">
        <f>69650</f>
        <v>69650</v>
      </c>
      <c r="D82" s="53"/>
      <c r="E82" s="53"/>
      <c r="F82" s="27"/>
      <c r="G82" s="53"/>
      <c r="H82" s="53"/>
      <c r="I82" s="53"/>
      <c r="J82" s="53"/>
      <c r="K82" s="53"/>
      <c r="L82" s="53"/>
      <c r="M82" s="53"/>
      <c r="N82" s="27"/>
      <c r="O82" s="150">
        <f t="shared" si="21"/>
        <v>69650</v>
      </c>
    </row>
    <row r="83" spans="1:15" ht="15">
      <c r="A83" s="148" t="s">
        <v>306</v>
      </c>
      <c r="B83" s="151" t="s">
        <v>291</v>
      </c>
      <c r="C83" s="141">
        <v>5000</v>
      </c>
      <c r="D83" s="53"/>
      <c r="E83" s="53"/>
      <c r="F83" s="27"/>
      <c r="G83" s="53"/>
      <c r="H83" s="53"/>
      <c r="I83" s="53"/>
      <c r="J83" s="53"/>
      <c r="K83" s="53"/>
      <c r="L83" s="53"/>
      <c r="M83" s="53"/>
      <c r="N83" s="27"/>
      <c r="O83" s="150">
        <f t="shared" si="21"/>
        <v>5000</v>
      </c>
    </row>
    <row r="84" spans="1:15" ht="30">
      <c r="A84" s="13" t="s">
        <v>276</v>
      </c>
      <c r="B84" s="2" t="s">
        <v>333</v>
      </c>
      <c r="C84" s="27">
        <f>4910782+5983</f>
        <v>4916765</v>
      </c>
      <c r="D84" s="53"/>
      <c r="E84" s="53"/>
      <c r="F84" s="27"/>
      <c r="G84" s="53"/>
      <c r="H84" s="53"/>
      <c r="I84" s="53"/>
      <c r="J84" s="53"/>
      <c r="K84" s="53"/>
      <c r="L84" s="53"/>
      <c r="M84" s="53"/>
      <c r="N84" s="27"/>
      <c r="O84" s="150">
        <f t="shared" si="21"/>
        <v>4916765</v>
      </c>
    </row>
    <row r="85" spans="1:15" ht="15">
      <c r="A85" s="13" t="s">
        <v>345</v>
      </c>
      <c r="B85" s="2" t="s">
        <v>346</v>
      </c>
      <c r="C85" s="27">
        <v>157388</v>
      </c>
      <c r="D85" s="53"/>
      <c r="E85" s="53"/>
      <c r="F85" s="27"/>
      <c r="G85" s="53"/>
      <c r="H85" s="53"/>
      <c r="I85" s="53"/>
      <c r="J85" s="53"/>
      <c r="K85" s="53"/>
      <c r="L85" s="53"/>
      <c r="M85" s="53"/>
      <c r="N85" s="27"/>
      <c r="O85" s="150">
        <f t="shared" si="21"/>
        <v>157388</v>
      </c>
    </row>
    <row r="86" spans="1:15" ht="15">
      <c r="A86" s="13" t="s">
        <v>373</v>
      </c>
      <c r="B86" s="12" t="s">
        <v>374</v>
      </c>
      <c r="C86" s="27">
        <v>80830</v>
      </c>
      <c r="D86" s="53"/>
      <c r="E86" s="53"/>
      <c r="F86" s="27"/>
      <c r="G86" s="53"/>
      <c r="H86" s="53"/>
      <c r="I86" s="53"/>
      <c r="J86" s="53"/>
      <c r="K86" s="53"/>
      <c r="L86" s="53"/>
      <c r="M86" s="53"/>
      <c r="N86" s="27"/>
      <c r="O86" s="150">
        <f t="shared" si="21"/>
        <v>80830</v>
      </c>
    </row>
    <row r="87" spans="1:15" ht="15">
      <c r="A87" s="129" t="s">
        <v>68</v>
      </c>
      <c r="B87" s="94" t="s">
        <v>192</v>
      </c>
      <c r="C87" s="97">
        <f>SUM(C88:C90)</f>
        <v>2284607</v>
      </c>
      <c r="D87" s="97">
        <f aca="true" t="shared" si="22" ref="D87:N87">SUM(D88:D90)</f>
        <v>0</v>
      </c>
      <c r="E87" s="97">
        <f t="shared" si="22"/>
        <v>0</v>
      </c>
      <c r="F87" s="97">
        <f t="shared" si="22"/>
        <v>0</v>
      </c>
      <c r="G87" s="97">
        <f t="shared" si="22"/>
        <v>0</v>
      </c>
      <c r="H87" s="97">
        <f t="shared" si="22"/>
        <v>0</v>
      </c>
      <c r="I87" s="97">
        <f t="shared" si="22"/>
        <v>0</v>
      </c>
      <c r="J87" s="97">
        <f t="shared" si="22"/>
        <v>0</v>
      </c>
      <c r="K87" s="97">
        <f t="shared" si="22"/>
        <v>0</v>
      </c>
      <c r="L87" s="97">
        <f t="shared" si="22"/>
        <v>0</v>
      </c>
      <c r="M87" s="97">
        <f t="shared" si="22"/>
        <v>230</v>
      </c>
      <c r="N87" s="97">
        <f t="shared" si="22"/>
        <v>0</v>
      </c>
      <c r="O87" s="130">
        <f>SUM(C87:N87)</f>
        <v>2284837</v>
      </c>
    </row>
    <row r="88" spans="1:15" ht="15">
      <c r="A88" s="148" t="s">
        <v>277</v>
      </c>
      <c r="B88" s="152" t="s">
        <v>442</v>
      </c>
      <c r="C88" s="124"/>
      <c r="D88" s="36"/>
      <c r="E88" s="36"/>
      <c r="F88" s="97"/>
      <c r="G88" s="20"/>
      <c r="H88" s="20"/>
      <c r="I88" s="20"/>
      <c r="J88" s="20"/>
      <c r="K88" s="20"/>
      <c r="L88" s="20"/>
      <c r="M88" s="20">
        <v>230</v>
      </c>
      <c r="N88" s="56"/>
      <c r="O88" s="150">
        <f t="shared" si="21"/>
        <v>230</v>
      </c>
    </row>
    <row r="89" spans="1:15" ht="47.25">
      <c r="A89" s="148" t="s">
        <v>375</v>
      </c>
      <c r="B89" s="14" t="s">
        <v>376</v>
      </c>
      <c r="C89" s="27">
        <v>107995</v>
      </c>
      <c r="D89" s="36"/>
      <c r="E89" s="36"/>
      <c r="F89" s="97"/>
      <c r="G89" s="20"/>
      <c r="H89" s="20"/>
      <c r="I89" s="20"/>
      <c r="J89" s="20"/>
      <c r="K89" s="20"/>
      <c r="L89" s="20"/>
      <c r="M89" s="20"/>
      <c r="N89" s="56"/>
      <c r="O89" s="150">
        <f t="shared" si="21"/>
        <v>107995</v>
      </c>
    </row>
    <row r="90" spans="1:15" ht="75">
      <c r="A90" s="148" t="s">
        <v>278</v>
      </c>
      <c r="B90" s="153" t="s">
        <v>443</v>
      </c>
      <c r="C90" s="27">
        <f>1916612+260000</f>
        <v>2176612</v>
      </c>
      <c r="D90" s="36"/>
      <c r="E90" s="36"/>
      <c r="F90" s="97"/>
      <c r="G90" s="20"/>
      <c r="H90" s="20"/>
      <c r="I90" s="20"/>
      <c r="J90" s="20"/>
      <c r="K90" s="20"/>
      <c r="L90" s="20"/>
      <c r="M90" s="20"/>
      <c r="N90" s="56"/>
      <c r="O90" s="150">
        <f t="shared" si="21"/>
        <v>2176612</v>
      </c>
    </row>
    <row r="91" spans="1:15" ht="15">
      <c r="A91" s="122" t="s">
        <v>69</v>
      </c>
      <c r="B91" s="123" t="s">
        <v>70</v>
      </c>
      <c r="C91" s="124"/>
      <c r="D91" s="20"/>
      <c r="E91" s="20"/>
      <c r="F91" s="56"/>
      <c r="G91" s="20"/>
      <c r="H91" s="20"/>
      <c r="I91" s="20"/>
      <c r="J91" s="20"/>
      <c r="K91" s="20">
        <v>500</v>
      </c>
      <c r="L91" s="20"/>
      <c r="M91" s="20"/>
      <c r="N91" s="56"/>
      <c r="O91" s="130">
        <f t="shared" si="15"/>
        <v>500</v>
      </c>
    </row>
    <row r="92" spans="1:15" ht="15">
      <c r="A92" s="122" t="s">
        <v>307</v>
      </c>
      <c r="B92" s="123" t="s">
        <v>143</v>
      </c>
      <c r="C92" s="124">
        <v>305742</v>
      </c>
      <c r="D92" s="56"/>
      <c r="E92" s="20"/>
      <c r="F92" s="56"/>
      <c r="G92" s="20"/>
      <c r="H92" s="20"/>
      <c r="I92" s="20"/>
      <c r="J92" s="20">
        <v>464</v>
      </c>
      <c r="K92" s="56"/>
      <c r="L92" s="56"/>
      <c r="M92" s="56"/>
      <c r="N92" s="56"/>
      <c r="O92" s="130">
        <f t="shared" si="15"/>
        <v>306206</v>
      </c>
    </row>
    <row r="93" spans="1:15" ht="15">
      <c r="A93" s="129" t="s">
        <v>71</v>
      </c>
      <c r="B93" s="94" t="s">
        <v>72</v>
      </c>
      <c r="C93" s="97">
        <f aca="true" t="shared" si="23" ref="C93:N93">SUM(C94:C111)</f>
        <v>5989590</v>
      </c>
      <c r="D93" s="97">
        <f t="shared" si="23"/>
        <v>205980</v>
      </c>
      <c r="E93" s="97">
        <f t="shared" si="23"/>
        <v>0</v>
      </c>
      <c r="F93" s="97">
        <f t="shared" si="23"/>
        <v>0</v>
      </c>
      <c r="G93" s="97">
        <f t="shared" si="23"/>
        <v>169338</v>
      </c>
      <c r="H93" s="97">
        <f t="shared" si="23"/>
        <v>66288</v>
      </c>
      <c r="I93" s="97">
        <f t="shared" si="23"/>
        <v>132529</v>
      </c>
      <c r="J93" s="97">
        <f t="shared" si="23"/>
        <v>127143</v>
      </c>
      <c r="K93" s="97">
        <f t="shared" si="23"/>
        <v>43366</v>
      </c>
      <c r="L93" s="97">
        <f t="shared" si="23"/>
        <v>53069</v>
      </c>
      <c r="M93" s="97">
        <f t="shared" si="23"/>
        <v>36686</v>
      </c>
      <c r="N93" s="97">
        <f t="shared" si="23"/>
        <v>50896</v>
      </c>
      <c r="O93" s="130">
        <f t="shared" si="15"/>
        <v>6874885</v>
      </c>
    </row>
    <row r="94" spans="1:15" ht="15">
      <c r="A94" s="154" t="s">
        <v>332</v>
      </c>
      <c r="B94" s="26" t="s">
        <v>73</v>
      </c>
      <c r="C94" s="56">
        <f>1628921-18000-6568</f>
        <v>1604353</v>
      </c>
      <c r="D94" s="20"/>
      <c r="E94" s="20"/>
      <c r="F94" s="56"/>
      <c r="G94" s="20"/>
      <c r="H94" s="20">
        <v>31440</v>
      </c>
      <c r="I94" s="20">
        <v>119695</v>
      </c>
      <c r="J94" s="20"/>
      <c r="K94" s="20">
        <v>43366</v>
      </c>
      <c r="L94" s="20">
        <v>53069</v>
      </c>
      <c r="M94" s="20">
        <v>36686</v>
      </c>
      <c r="N94" s="56"/>
      <c r="O94" s="130">
        <f t="shared" si="15"/>
        <v>1888609</v>
      </c>
    </row>
    <row r="95" spans="1:15" ht="30">
      <c r="A95" s="55" t="s">
        <v>444</v>
      </c>
      <c r="B95" s="155" t="s">
        <v>527</v>
      </c>
      <c r="C95" s="56">
        <v>77500</v>
      </c>
      <c r="D95" s="20"/>
      <c r="E95" s="20"/>
      <c r="F95" s="56"/>
      <c r="G95" s="20"/>
      <c r="H95" s="20"/>
      <c r="I95" s="20"/>
      <c r="J95" s="20"/>
      <c r="K95" s="20"/>
      <c r="L95" s="20"/>
      <c r="M95" s="20"/>
      <c r="N95" s="60"/>
      <c r="O95" s="130">
        <f t="shared" si="15"/>
        <v>77500</v>
      </c>
    </row>
    <row r="96" spans="1:15" ht="30">
      <c r="A96" s="55" t="s">
        <v>445</v>
      </c>
      <c r="B96" s="4" t="s">
        <v>526</v>
      </c>
      <c r="C96" s="56">
        <f>87000+11700</f>
        <v>98700</v>
      </c>
      <c r="D96" s="20"/>
      <c r="E96" s="20"/>
      <c r="F96" s="56"/>
      <c r="G96" s="20"/>
      <c r="H96" s="20"/>
      <c r="I96" s="20"/>
      <c r="J96" s="20"/>
      <c r="K96" s="20"/>
      <c r="L96" s="20"/>
      <c r="M96" s="20"/>
      <c r="N96" s="60"/>
      <c r="O96" s="130">
        <f t="shared" si="15"/>
        <v>98700</v>
      </c>
    </row>
    <row r="97" spans="1:15" ht="15">
      <c r="A97" s="55" t="s">
        <v>193</v>
      </c>
      <c r="B97" s="156" t="s">
        <v>194</v>
      </c>
      <c r="C97" s="56"/>
      <c r="D97" s="20">
        <v>205980</v>
      </c>
      <c r="E97" s="20"/>
      <c r="F97" s="56"/>
      <c r="G97" s="20">
        <v>169338</v>
      </c>
      <c r="H97" s="20">
        <v>34848</v>
      </c>
      <c r="I97" s="20">
        <v>12834</v>
      </c>
      <c r="J97" s="20">
        <v>118527</v>
      </c>
      <c r="K97" s="20"/>
      <c r="L97" s="20"/>
      <c r="M97" s="20"/>
      <c r="N97" s="62">
        <v>50896</v>
      </c>
      <c r="O97" s="130">
        <f t="shared" si="15"/>
        <v>592423</v>
      </c>
    </row>
    <row r="98" spans="1:15" ht="15">
      <c r="A98" s="55" t="s">
        <v>514</v>
      </c>
      <c r="B98" s="156" t="s">
        <v>515</v>
      </c>
      <c r="C98" s="56">
        <v>162298</v>
      </c>
      <c r="D98" s="20"/>
      <c r="E98" s="20"/>
      <c r="F98" s="56"/>
      <c r="G98" s="20"/>
      <c r="H98" s="20"/>
      <c r="I98" s="20"/>
      <c r="J98" s="56"/>
      <c r="K98" s="56"/>
      <c r="L98" s="56"/>
      <c r="M98" s="56"/>
      <c r="N98" s="60"/>
      <c r="O98" s="130">
        <f t="shared" si="15"/>
        <v>162298</v>
      </c>
    </row>
    <row r="99" spans="1:15" ht="30">
      <c r="A99" s="55" t="s">
        <v>279</v>
      </c>
      <c r="B99" s="38" t="s">
        <v>446</v>
      </c>
      <c r="C99" s="56">
        <f>615820+5798</f>
        <v>621618</v>
      </c>
      <c r="D99" s="20"/>
      <c r="E99" s="20"/>
      <c r="F99" s="56"/>
      <c r="G99" s="20"/>
      <c r="H99" s="20"/>
      <c r="I99" s="20"/>
      <c r="J99" s="56"/>
      <c r="K99" s="56"/>
      <c r="L99" s="56"/>
      <c r="M99" s="56"/>
      <c r="N99" s="56"/>
      <c r="O99" s="130">
        <f t="shared" si="15"/>
        <v>621618</v>
      </c>
    </row>
    <row r="100" spans="1:15" ht="15.75">
      <c r="A100" s="11" t="s">
        <v>377</v>
      </c>
      <c r="B100" s="15" t="s">
        <v>378</v>
      </c>
      <c r="C100" s="56">
        <f>12000+152590</f>
        <v>164590</v>
      </c>
      <c r="D100" s="20"/>
      <c r="E100" s="20"/>
      <c r="F100" s="56"/>
      <c r="G100" s="20"/>
      <c r="H100" s="20"/>
      <c r="I100" s="20"/>
      <c r="J100" s="56"/>
      <c r="K100" s="56"/>
      <c r="L100" s="56"/>
      <c r="M100" s="56"/>
      <c r="N100" s="56"/>
      <c r="O100" s="130">
        <f t="shared" si="15"/>
        <v>164590</v>
      </c>
    </row>
    <row r="101" spans="1:15" ht="63">
      <c r="A101" s="11" t="s">
        <v>447</v>
      </c>
      <c r="B101" s="15" t="s">
        <v>536</v>
      </c>
      <c r="C101" s="56">
        <f>1007246-90645</f>
        <v>916601</v>
      </c>
      <c r="D101" s="20"/>
      <c r="E101" s="20"/>
      <c r="F101" s="56"/>
      <c r="G101" s="20"/>
      <c r="H101" s="20"/>
      <c r="I101" s="20"/>
      <c r="J101" s="56"/>
      <c r="K101" s="56"/>
      <c r="L101" s="56"/>
      <c r="M101" s="56"/>
      <c r="N101" s="56"/>
      <c r="O101" s="130">
        <f t="shared" si="15"/>
        <v>916601</v>
      </c>
    </row>
    <row r="102" spans="1:15" ht="15.75">
      <c r="A102" s="11" t="s">
        <v>448</v>
      </c>
      <c r="B102" s="15" t="s">
        <v>528</v>
      </c>
      <c r="C102" s="56">
        <f>305734+258907</f>
        <v>564641</v>
      </c>
      <c r="D102" s="20"/>
      <c r="E102" s="20"/>
      <c r="F102" s="56"/>
      <c r="G102" s="20"/>
      <c r="H102" s="20"/>
      <c r="I102" s="20"/>
      <c r="J102" s="56"/>
      <c r="K102" s="56"/>
      <c r="L102" s="56"/>
      <c r="M102" s="56"/>
      <c r="N102" s="56"/>
      <c r="O102" s="130">
        <f t="shared" si="15"/>
        <v>564641</v>
      </c>
    </row>
    <row r="103" spans="1:15" ht="47.25">
      <c r="A103" s="11" t="s">
        <v>449</v>
      </c>
      <c r="B103" s="14" t="s">
        <v>450</v>
      </c>
      <c r="C103" s="56">
        <v>578747</v>
      </c>
      <c r="D103" s="20"/>
      <c r="E103" s="20"/>
      <c r="F103" s="56"/>
      <c r="G103" s="20"/>
      <c r="H103" s="20"/>
      <c r="I103" s="20"/>
      <c r="J103" s="56"/>
      <c r="K103" s="56"/>
      <c r="L103" s="56"/>
      <c r="M103" s="56"/>
      <c r="N103" s="56"/>
      <c r="O103" s="130">
        <f t="shared" si="15"/>
        <v>578747</v>
      </c>
    </row>
    <row r="104" spans="1:15" ht="47.25">
      <c r="A104" s="11" t="s">
        <v>495</v>
      </c>
      <c r="B104" s="15" t="s">
        <v>496</v>
      </c>
      <c r="C104" s="56">
        <v>114446</v>
      </c>
      <c r="D104" s="20"/>
      <c r="E104" s="20"/>
      <c r="F104" s="56"/>
      <c r="G104" s="20"/>
      <c r="H104" s="20"/>
      <c r="I104" s="20"/>
      <c r="J104" s="56"/>
      <c r="K104" s="56"/>
      <c r="L104" s="56"/>
      <c r="M104" s="56"/>
      <c r="N104" s="56"/>
      <c r="O104" s="130">
        <f t="shared" si="15"/>
        <v>114446</v>
      </c>
    </row>
    <row r="105" spans="1:15" ht="15">
      <c r="A105" s="11" t="s">
        <v>516</v>
      </c>
      <c r="B105" s="231" t="s">
        <v>517</v>
      </c>
      <c r="C105" s="56">
        <v>273708</v>
      </c>
      <c r="D105" s="20"/>
      <c r="E105" s="20"/>
      <c r="F105" s="56"/>
      <c r="G105" s="20"/>
      <c r="H105" s="20"/>
      <c r="I105" s="20"/>
      <c r="J105" s="56"/>
      <c r="K105" s="56"/>
      <c r="L105" s="56"/>
      <c r="M105" s="56"/>
      <c r="N105" s="56"/>
      <c r="O105" s="130">
        <f t="shared" si="15"/>
        <v>273708</v>
      </c>
    </row>
    <row r="106" spans="1:15" ht="31.5">
      <c r="A106" s="11" t="s">
        <v>493</v>
      </c>
      <c r="B106" s="14" t="s">
        <v>494</v>
      </c>
      <c r="C106" s="56">
        <v>23693</v>
      </c>
      <c r="D106" s="20"/>
      <c r="E106" s="20"/>
      <c r="F106" s="56"/>
      <c r="G106" s="20"/>
      <c r="H106" s="20"/>
      <c r="I106" s="20"/>
      <c r="J106" s="56"/>
      <c r="K106" s="56"/>
      <c r="L106" s="56"/>
      <c r="M106" s="56"/>
      <c r="N106" s="56"/>
      <c r="O106" s="130">
        <f t="shared" si="15"/>
        <v>23693</v>
      </c>
    </row>
    <row r="107" spans="1:15" ht="15">
      <c r="A107" s="11" t="s">
        <v>518</v>
      </c>
      <c r="B107" s="231" t="s">
        <v>521</v>
      </c>
      <c r="C107" s="56">
        <v>272505</v>
      </c>
      <c r="D107" s="20"/>
      <c r="E107" s="20"/>
      <c r="F107" s="56"/>
      <c r="G107" s="20"/>
      <c r="H107" s="20"/>
      <c r="I107" s="20"/>
      <c r="J107" s="56"/>
      <c r="K107" s="56"/>
      <c r="L107" s="56"/>
      <c r="M107" s="56"/>
      <c r="N107" s="56"/>
      <c r="O107" s="130">
        <f t="shared" si="15"/>
        <v>272505</v>
      </c>
    </row>
    <row r="108" spans="1:15" ht="15">
      <c r="A108" s="11" t="s">
        <v>519</v>
      </c>
      <c r="B108" s="231" t="s">
        <v>522</v>
      </c>
      <c r="C108" s="56">
        <v>108421</v>
      </c>
      <c r="D108" s="20"/>
      <c r="E108" s="20"/>
      <c r="F108" s="56"/>
      <c r="G108" s="20"/>
      <c r="H108" s="20"/>
      <c r="I108" s="20"/>
      <c r="J108" s="56"/>
      <c r="K108" s="56"/>
      <c r="L108" s="56"/>
      <c r="M108" s="56"/>
      <c r="N108" s="56"/>
      <c r="O108" s="130">
        <f t="shared" si="15"/>
        <v>108421</v>
      </c>
    </row>
    <row r="109" spans="1:15" ht="45">
      <c r="A109" s="11" t="s">
        <v>520</v>
      </c>
      <c r="B109" s="231" t="s">
        <v>523</v>
      </c>
      <c r="C109" s="56">
        <v>323340</v>
      </c>
      <c r="D109" s="20"/>
      <c r="E109" s="20"/>
      <c r="F109" s="56"/>
      <c r="G109" s="20"/>
      <c r="H109" s="20"/>
      <c r="I109" s="20"/>
      <c r="J109" s="56"/>
      <c r="K109" s="56"/>
      <c r="L109" s="56"/>
      <c r="M109" s="56"/>
      <c r="N109" s="56"/>
      <c r="O109" s="130">
        <f t="shared" si="15"/>
        <v>323340</v>
      </c>
    </row>
    <row r="110" spans="1:15" ht="15">
      <c r="A110" s="11" t="s">
        <v>524</v>
      </c>
      <c r="B110" s="21" t="s">
        <v>525</v>
      </c>
      <c r="C110" s="56">
        <v>84429</v>
      </c>
      <c r="D110" s="20"/>
      <c r="E110" s="20"/>
      <c r="F110" s="56"/>
      <c r="G110" s="20"/>
      <c r="H110" s="20"/>
      <c r="I110" s="20"/>
      <c r="J110" s="56"/>
      <c r="K110" s="56"/>
      <c r="L110" s="56"/>
      <c r="M110" s="56"/>
      <c r="N110" s="56"/>
      <c r="O110" s="130">
        <f t="shared" si="15"/>
        <v>84429</v>
      </c>
    </row>
    <row r="111" spans="1:15" ht="15.75">
      <c r="A111" s="11" t="s">
        <v>533</v>
      </c>
      <c r="B111" s="228" t="s">
        <v>534</v>
      </c>
      <c r="C111" s="56"/>
      <c r="D111" s="20"/>
      <c r="E111" s="20"/>
      <c r="F111" s="56"/>
      <c r="G111" s="20"/>
      <c r="H111" s="20"/>
      <c r="I111" s="20"/>
      <c r="J111" s="56">
        <v>8616</v>
      </c>
      <c r="K111" s="56"/>
      <c r="L111" s="56"/>
      <c r="M111" s="56"/>
      <c r="N111" s="56"/>
      <c r="O111" s="130">
        <f t="shared" si="15"/>
        <v>8616</v>
      </c>
    </row>
    <row r="112" spans="1:15" ht="15">
      <c r="A112" s="129" t="s">
        <v>74</v>
      </c>
      <c r="B112" s="157" t="s">
        <v>75</v>
      </c>
      <c r="C112" s="97">
        <f>SUM(C113:C113)</f>
        <v>0</v>
      </c>
      <c r="D112" s="20"/>
      <c r="E112" s="20"/>
      <c r="F112" s="56"/>
      <c r="G112" s="36">
        <f aca="true" t="shared" si="24" ref="G112:N112">SUM(G113:G113)</f>
        <v>0</v>
      </c>
      <c r="H112" s="36">
        <f t="shared" si="24"/>
        <v>0</v>
      </c>
      <c r="I112" s="36">
        <f>SUM(I113:I113)</f>
        <v>0</v>
      </c>
      <c r="J112" s="97">
        <f t="shared" si="24"/>
        <v>0</v>
      </c>
      <c r="K112" s="97">
        <f t="shared" si="24"/>
        <v>0</v>
      </c>
      <c r="L112" s="97">
        <f t="shared" si="24"/>
        <v>0</v>
      </c>
      <c r="M112" s="97">
        <f t="shared" si="24"/>
        <v>0</v>
      </c>
      <c r="N112" s="97">
        <f t="shared" si="24"/>
        <v>0</v>
      </c>
      <c r="O112" s="130">
        <f t="shared" si="15"/>
        <v>0</v>
      </c>
    </row>
    <row r="113" spans="1:15" ht="15">
      <c r="A113" s="55" t="s">
        <v>195</v>
      </c>
      <c r="B113" s="26" t="s">
        <v>265</v>
      </c>
      <c r="C113" s="56"/>
      <c r="D113" s="20"/>
      <c r="E113" s="20"/>
      <c r="F113" s="56"/>
      <c r="G113" s="20"/>
      <c r="H113" s="20"/>
      <c r="I113" s="20"/>
      <c r="J113" s="20"/>
      <c r="K113" s="20"/>
      <c r="L113" s="20"/>
      <c r="M113" s="20"/>
      <c r="N113" s="56"/>
      <c r="O113" s="130">
        <f t="shared" si="15"/>
        <v>0</v>
      </c>
    </row>
    <row r="114" spans="1:15" ht="15.75" thickBot="1">
      <c r="A114" s="158" t="s">
        <v>359</v>
      </c>
      <c r="B114" s="146" t="s">
        <v>354</v>
      </c>
      <c r="C114" s="84">
        <f>152443+14009</f>
        <v>166452</v>
      </c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130">
        <f t="shared" si="15"/>
        <v>166452</v>
      </c>
    </row>
    <row r="115" spans="1:15" ht="15.75" thickBot="1">
      <c r="A115" s="85" t="s">
        <v>16</v>
      </c>
      <c r="B115" s="159" t="s">
        <v>76</v>
      </c>
      <c r="C115" s="49">
        <f aca="true" t="shared" si="25" ref="C115:N115">C116+C119+C122+C125</f>
        <v>6599589</v>
      </c>
      <c r="D115" s="49">
        <f t="shared" si="25"/>
        <v>562620</v>
      </c>
      <c r="E115" s="49">
        <f t="shared" si="25"/>
        <v>0</v>
      </c>
      <c r="F115" s="49">
        <f t="shared" si="25"/>
        <v>89273</v>
      </c>
      <c r="G115" s="49">
        <f t="shared" si="25"/>
        <v>11588</v>
      </c>
      <c r="H115" s="49">
        <f t="shared" si="25"/>
        <v>35546</v>
      </c>
      <c r="I115" s="49">
        <f t="shared" si="25"/>
        <v>34115</v>
      </c>
      <c r="J115" s="49">
        <f t="shared" si="25"/>
        <v>134503</v>
      </c>
      <c r="K115" s="49">
        <f t="shared" si="25"/>
        <v>29794</v>
      </c>
      <c r="L115" s="49">
        <f t="shared" si="25"/>
        <v>13805</v>
      </c>
      <c r="M115" s="49">
        <f t="shared" si="25"/>
        <v>0</v>
      </c>
      <c r="N115" s="49">
        <f t="shared" si="25"/>
        <v>24478</v>
      </c>
      <c r="O115" s="50">
        <f t="shared" si="15"/>
        <v>7535311</v>
      </c>
    </row>
    <row r="116" spans="1:15" ht="15">
      <c r="A116" s="122" t="s">
        <v>77</v>
      </c>
      <c r="B116" s="157" t="s">
        <v>78</v>
      </c>
      <c r="C116" s="124">
        <f>SUM(C117:C118)</f>
        <v>27373</v>
      </c>
      <c r="D116" s="124">
        <f aca="true" t="shared" si="26" ref="D116:N116">SUM(D117:D118)</f>
        <v>75755</v>
      </c>
      <c r="E116" s="124">
        <f t="shared" si="26"/>
        <v>0</v>
      </c>
      <c r="F116" s="124">
        <f t="shared" si="26"/>
        <v>35416</v>
      </c>
      <c r="G116" s="124">
        <f t="shared" si="26"/>
        <v>1600</v>
      </c>
      <c r="H116" s="124">
        <f t="shared" si="26"/>
        <v>12705</v>
      </c>
      <c r="I116" s="124">
        <f t="shared" si="26"/>
        <v>24926</v>
      </c>
      <c r="J116" s="124">
        <f t="shared" si="26"/>
        <v>44167</v>
      </c>
      <c r="K116" s="124">
        <f t="shared" si="26"/>
        <v>22080</v>
      </c>
      <c r="L116" s="124">
        <f t="shared" si="26"/>
        <v>6500</v>
      </c>
      <c r="M116" s="124">
        <f t="shared" si="26"/>
        <v>0</v>
      </c>
      <c r="N116" s="124">
        <f t="shared" si="26"/>
        <v>14350</v>
      </c>
      <c r="O116" s="160">
        <f t="shared" si="15"/>
        <v>264872</v>
      </c>
    </row>
    <row r="117" spans="1:15" ht="30">
      <c r="A117" s="55" t="s">
        <v>196</v>
      </c>
      <c r="B117" s="26" t="s">
        <v>379</v>
      </c>
      <c r="C117" s="133">
        <f>8013</f>
        <v>8013</v>
      </c>
      <c r="D117" s="20">
        <v>75755</v>
      </c>
      <c r="E117" s="20"/>
      <c r="F117" s="20">
        <f>34598+818</f>
        <v>35416</v>
      </c>
      <c r="G117" s="58">
        <v>1600</v>
      </c>
      <c r="H117" s="20">
        <v>12705</v>
      </c>
      <c r="I117" s="20">
        <v>24926</v>
      </c>
      <c r="J117" s="20">
        <v>44167</v>
      </c>
      <c r="K117" s="20">
        <v>22080</v>
      </c>
      <c r="L117" s="20">
        <v>6500</v>
      </c>
      <c r="M117" s="20"/>
      <c r="N117" s="62">
        <v>14350</v>
      </c>
      <c r="O117" s="130">
        <f>SUM(C117:N117)</f>
        <v>245512</v>
      </c>
    </row>
    <row r="118" spans="1:15" ht="15">
      <c r="A118" s="55" t="s">
        <v>280</v>
      </c>
      <c r="B118" s="144" t="s">
        <v>451</v>
      </c>
      <c r="C118" s="56">
        <v>19360</v>
      </c>
      <c r="D118" s="56"/>
      <c r="E118" s="56"/>
      <c r="F118" s="20"/>
      <c r="G118" s="58"/>
      <c r="H118" s="20"/>
      <c r="I118" s="20"/>
      <c r="J118" s="56"/>
      <c r="K118" s="20"/>
      <c r="L118" s="56"/>
      <c r="M118" s="20"/>
      <c r="N118" s="60"/>
      <c r="O118" s="130">
        <f>SUM(C118:N118)</f>
        <v>19360</v>
      </c>
    </row>
    <row r="119" spans="1:15" ht="15">
      <c r="A119" s="129" t="s">
        <v>2</v>
      </c>
      <c r="B119" s="131" t="s">
        <v>79</v>
      </c>
      <c r="C119" s="97">
        <f>SUM(C120:C121)</f>
        <v>71616</v>
      </c>
      <c r="D119" s="97">
        <f>SUM(D120:D121)</f>
        <v>486865</v>
      </c>
      <c r="E119" s="97">
        <f>SUM(E120:E121)</f>
        <v>0</v>
      </c>
      <c r="F119" s="36">
        <f>SUM(F120:F121)</f>
        <v>53857</v>
      </c>
      <c r="G119" s="96">
        <f aca="true" t="shared" si="27" ref="G119:N119">SUM(G120:G121)</f>
        <v>0</v>
      </c>
      <c r="H119" s="36">
        <f t="shared" si="27"/>
        <v>22841</v>
      </c>
      <c r="I119" s="36">
        <f t="shared" si="27"/>
        <v>9189</v>
      </c>
      <c r="J119" s="97">
        <f t="shared" si="27"/>
        <v>48006</v>
      </c>
      <c r="K119" s="97">
        <f t="shared" si="27"/>
        <v>7714</v>
      </c>
      <c r="L119" s="97">
        <f t="shared" si="27"/>
        <v>6614</v>
      </c>
      <c r="M119" s="36">
        <f t="shared" si="27"/>
        <v>0</v>
      </c>
      <c r="N119" s="95">
        <f t="shared" si="27"/>
        <v>10128</v>
      </c>
      <c r="O119" s="130">
        <f t="shared" si="15"/>
        <v>716830</v>
      </c>
    </row>
    <row r="120" spans="1:15" ht="15">
      <c r="A120" s="55" t="s">
        <v>197</v>
      </c>
      <c r="B120" s="38" t="s">
        <v>452</v>
      </c>
      <c r="C120" s="56">
        <f>121616-50000</f>
        <v>71616</v>
      </c>
      <c r="D120" s="20">
        <v>42808</v>
      </c>
      <c r="E120" s="20"/>
      <c r="F120" s="20">
        <f>50657+3200</f>
        <v>53857</v>
      </c>
      <c r="G120" s="58"/>
      <c r="H120" s="20"/>
      <c r="I120" s="20"/>
      <c r="J120" s="20"/>
      <c r="K120" s="20"/>
      <c r="L120" s="20"/>
      <c r="M120" s="20"/>
      <c r="N120" s="60"/>
      <c r="O120" s="130">
        <f t="shared" si="15"/>
        <v>168281</v>
      </c>
    </row>
    <row r="121" spans="1:15" ht="15">
      <c r="A121" s="161" t="s">
        <v>198</v>
      </c>
      <c r="B121" s="38" t="s">
        <v>453</v>
      </c>
      <c r="C121" s="56"/>
      <c r="D121" s="20">
        <v>444057</v>
      </c>
      <c r="E121" s="20"/>
      <c r="F121" s="56"/>
      <c r="G121" s="20"/>
      <c r="H121" s="20">
        <v>22841</v>
      </c>
      <c r="I121" s="20">
        <v>9189</v>
      </c>
      <c r="J121" s="20">
        <v>48006</v>
      </c>
      <c r="K121" s="20">
        <v>7714</v>
      </c>
      <c r="L121" s="20">
        <v>6614</v>
      </c>
      <c r="M121" s="20"/>
      <c r="N121" s="62">
        <v>10128</v>
      </c>
      <c r="O121" s="130">
        <f>SUM(C121:N121)</f>
        <v>548549</v>
      </c>
    </row>
    <row r="122" spans="1:15" s="206" customFormat="1" ht="28.5">
      <c r="A122" s="129" t="s">
        <v>199</v>
      </c>
      <c r="B122" s="157" t="s">
        <v>200</v>
      </c>
      <c r="C122" s="124">
        <f aca="true" t="shared" si="28" ref="C122:N122">SUM(C123:C124)</f>
        <v>6465275</v>
      </c>
      <c r="D122" s="124">
        <f t="shared" si="28"/>
        <v>0</v>
      </c>
      <c r="E122" s="124">
        <f t="shared" si="28"/>
        <v>0</v>
      </c>
      <c r="F122" s="124">
        <f t="shared" si="28"/>
        <v>0</v>
      </c>
      <c r="G122" s="124">
        <f t="shared" si="28"/>
        <v>0</v>
      </c>
      <c r="H122" s="124">
        <f t="shared" si="28"/>
        <v>0</v>
      </c>
      <c r="I122" s="124">
        <f t="shared" si="28"/>
        <v>0</v>
      </c>
      <c r="J122" s="124">
        <f t="shared" si="28"/>
        <v>42330</v>
      </c>
      <c r="K122" s="124">
        <f t="shared" si="28"/>
        <v>0</v>
      </c>
      <c r="L122" s="124">
        <f t="shared" si="28"/>
        <v>691</v>
      </c>
      <c r="M122" s="124">
        <f t="shared" si="28"/>
        <v>0</v>
      </c>
      <c r="N122" s="124">
        <f t="shared" si="28"/>
        <v>0</v>
      </c>
      <c r="O122" s="130">
        <f t="shared" si="15"/>
        <v>6508296</v>
      </c>
    </row>
    <row r="123" spans="1:15" s="206" customFormat="1" ht="15">
      <c r="A123" s="55" t="s">
        <v>308</v>
      </c>
      <c r="B123" s="162" t="s">
        <v>365</v>
      </c>
      <c r="C123" s="141">
        <f>20000+35505</f>
        <v>55505</v>
      </c>
      <c r="D123" s="124"/>
      <c r="E123" s="124"/>
      <c r="F123" s="124"/>
      <c r="G123" s="92"/>
      <c r="H123" s="124"/>
      <c r="I123" s="124"/>
      <c r="J123" s="124">
        <v>42330</v>
      </c>
      <c r="K123" s="124"/>
      <c r="L123" s="124">
        <v>691</v>
      </c>
      <c r="M123" s="124"/>
      <c r="N123" s="124"/>
      <c r="O123" s="130">
        <f>SUM(C123:N123)</f>
        <v>98526</v>
      </c>
    </row>
    <row r="124" spans="1:15" s="206" customFormat="1" ht="31.5">
      <c r="A124" s="11" t="s">
        <v>380</v>
      </c>
      <c r="B124" s="14" t="s">
        <v>381</v>
      </c>
      <c r="C124" s="27">
        <f>6400000+9770</f>
        <v>6409770</v>
      </c>
      <c r="D124" s="124"/>
      <c r="E124" s="124"/>
      <c r="F124" s="124"/>
      <c r="G124" s="92"/>
      <c r="H124" s="124"/>
      <c r="I124" s="124"/>
      <c r="J124" s="124"/>
      <c r="K124" s="124"/>
      <c r="L124" s="124"/>
      <c r="M124" s="124"/>
      <c r="N124" s="124"/>
      <c r="O124" s="130">
        <f>SUM(C124:N124)</f>
        <v>6409770</v>
      </c>
    </row>
    <row r="125" spans="1:15" ht="29.25">
      <c r="A125" s="122" t="s">
        <v>201</v>
      </c>
      <c r="B125" s="157" t="s">
        <v>202</v>
      </c>
      <c r="C125" s="124">
        <f>C126</f>
        <v>35325</v>
      </c>
      <c r="D125" s="124">
        <f aca="true" t="shared" si="29" ref="D125:N125">D126</f>
        <v>0</v>
      </c>
      <c r="E125" s="124">
        <f t="shared" si="29"/>
        <v>0</v>
      </c>
      <c r="F125" s="124">
        <f t="shared" si="29"/>
        <v>0</v>
      </c>
      <c r="G125" s="124">
        <f t="shared" si="29"/>
        <v>9988</v>
      </c>
      <c r="H125" s="124">
        <f t="shared" si="29"/>
        <v>0</v>
      </c>
      <c r="I125" s="124">
        <f t="shared" si="29"/>
        <v>0</v>
      </c>
      <c r="J125" s="124">
        <f t="shared" si="29"/>
        <v>0</v>
      </c>
      <c r="K125" s="124">
        <f t="shared" si="29"/>
        <v>0</v>
      </c>
      <c r="L125" s="124">
        <f t="shared" si="29"/>
        <v>0</v>
      </c>
      <c r="M125" s="124">
        <f t="shared" si="29"/>
        <v>0</v>
      </c>
      <c r="N125" s="124">
        <f t="shared" si="29"/>
        <v>0</v>
      </c>
      <c r="O125" s="130">
        <f>SUM(C125:N125)</f>
        <v>45313</v>
      </c>
    </row>
    <row r="126" spans="1:15" s="206" customFormat="1" ht="30" customHeight="1" thickBot="1">
      <c r="A126" s="164" t="s">
        <v>309</v>
      </c>
      <c r="B126" s="156" t="s">
        <v>454</v>
      </c>
      <c r="C126" s="27">
        <v>35325</v>
      </c>
      <c r="D126" s="124"/>
      <c r="E126" s="124"/>
      <c r="F126" s="124"/>
      <c r="G126" s="53">
        <v>9988</v>
      </c>
      <c r="H126" s="124"/>
      <c r="I126" s="124"/>
      <c r="J126" s="124"/>
      <c r="K126" s="124"/>
      <c r="L126" s="124"/>
      <c r="M126" s="124"/>
      <c r="N126" s="124"/>
      <c r="O126" s="130">
        <f>SUM(C126:N126)</f>
        <v>45313</v>
      </c>
    </row>
    <row r="127" spans="1:15" ht="30" thickBot="1">
      <c r="A127" s="85" t="s">
        <v>3</v>
      </c>
      <c r="B127" s="159" t="s">
        <v>80</v>
      </c>
      <c r="C127" s="49">
        <f>SUM(C128:C134)</f>
        <v>4244258</v>
      </c>
      <c r="D127" s="49">
        <f aca="true" t="shared" si="30" ref="D127:N127">SUM(D128:D134)</f>
        <v>2289413</v>
      </c>
      <c r="E127" s="49">
        <f t="shared" si="30"/>
        <v>0</v>
      </c>
      <c r="F127" s="49">
        <f t="shared" si="30"/>
        <v>265966</v>
      </c>
      <c r="G127" s="49">
        <f t="shared" si="30"/>
        <v>106941</v>
      </c>
      <c r="H127" s="49">
        <f t="shared" si="30"/>
        <v>159317</v>
      </c>
      <c r="I127" s="49">
        <f t="shared" si="30"/>
        <v>158459</v>
      </c>
      <c r="J127" s="49">
        <f t="shared" si="30"/>
        <v>356681</v>
      </c>
      <c r="K127" s="49">
        <f t="shared" si="30"/>
        <v>56273</v>
      </c>
      <c r="L127" s="49">
        <f t="shared" si="30"/>
        <v>110134</v>
      </c>
      <c r="M127" s="49">
        <f t="shared" si="30"/>
        <v>105085</v>
      </c>
      <c r="N127" s="49">
        <f t="shared" si="30"/>
        <v>110991</v>
      </c>
      <c r="O127" s="50">
        <f t="shared" si="15"/>
        <v>7963518</v>
      </c>
    </row>
    <row r="128" spans="1:15" ht="15">
      <c r="A128" s="122" t="s">
        <v>259</v>
      </c>
      <c r="B128" s="157" t="s">
        <v>310</v>
      </c>
      <c r="C128" s="124"/>
      <c r="D128" s="92"/>
      <c r="E128" s="53"/>
      <c r="F128" s="27"/>
      <c r="G128" s="53"/>
      <c r="H128" s="196"/>
      <c r="I128" s="53"/>
      <c r="J128" s="53"/>
      <c r="K128" s="53"/>
      <c r="L128" s="53"/>
      <c r="M128" s="53"/>
      <c r="N128" s="27"/>
      <c r="O128" s="127">
        <f t="shared" si="15"/>
        <v>0</v>
      </c>
    </row>
    <row r="129" spans="1:15" ht="15">
      <c r="A129" s="148" t="s">
        <v>281</v>
      </c>
      <c r="B129" s="156" t="s">
        <v>144</v>
      </c>
      <c r="C129" s="124"/>
      <c r="D129" s="92"/>
      <c r="E129" s="53"/>
      <c r="F129" s="27"/>
      <c r="G129" s="53"/>
      <c r="H129" s="20"/>
      <c r="I129" s="53"/>
      <c r="J129" s="53"/>
      <c r="K129" s="53"/>
      <c r="L129" s="53"/>
      <c r="M129" s="53"/>
      <c r="N129" s="27"/>
      <c r="O129" s="74">
        <f t="shared" si="15"/>
        <v>0</v>
      </c>
    </row>
    <row r="130" spans="1:15" ht="15">
      <c r="A130" s="129" t="s">
        <v>311</v>
      </c>
      <c r="B130" s="131" t="s">
        <v>203</v>
      </c>
      <c r="C130" s="133">
        <v>151876</v>
      </c>
      <c r="D130" s="36"/>
      <c r="E130" s="20"/>
      <c r="F130" s="56"/>
      <c r="G130" s="20"/>
      <c r="H130" s="20"/>
      <c r="I130" s="20"/>
      <c r="J130" s="20"/>
      <c r="K130" s="20"/>
      <c r="L130" s="20"/>
      <c r="M130" s="20"/>
      <c r="N130" s="56"/>
      <c r="O130" s="130">
        <f t="shared" si="15"/>
        <v>151876</v>
      </c>
    </row>
    <row r="131" spans="1:15" ht="15">
      <c r="A131" s="129" t="s">
        <v>81</v>
      </c>
      <c r="B131" s="131" t="s">
        <v>82</v>
      </c>
      <c r="C131" s="56"/>
      <c r="D131" s="20">
        <v>179725</v>
      </c>
      <c r="E131" s="20"/>
      <c r="F131" s="20">
        <f>25781-800</f>
        <v>24981</v>
      </c>
      <c r="G131" s="58"/>
      <c r="H131" s="20"/>
      <c r="I131" s="20"/>
      <c r="J131" s="20"/>
      <c r="K131" s="20"/>
      <c r="L131" s="20"/>
      <c r="M131" s="20"/>
      <c r="N131" s="56"/>
      <c r="O131" s="130">
        <f aca="true" t="shared" si="31" ref="O131:O139">SUM(C131:N131)</f>
        <v>204706</v>
      </c>
    </row>
    <row r="132" spans="1:15" ht="15">
      <c r="A132" s="129" t="s">
        <v>382</v>
      </c>
      <c r="B132" s="38" t="s">
        <v>383</v>
      </c>
      <c r="C132" s="56"/>
      <c r="D132" s="36"/>
      <c r="E132" s="20"/>
      <c r="F132" s="20"/>
      <c r="G132" s="58"/>
      <c r="H132" s="20">
        <v>28491</v>
      </c>
      <c r="I132" s="20">
        <v>13097</v>
      </c>
      <c r="J132" s="20">
        <v>41613</v>
      </c>
      <c r="K132" s="20">
        <v>9429</v>
      </c>
      <c r="L132" s="20">
        <v>8034</v>
      </c>
      <c r="M132" s="20">
        <v>80930</v>
      </c>
      <c r="N132" s="62">
        <v>3790</v>
      </c>
      <c r="O132" s="130">
        <f t="shared" si="31"/>
        <v>185384</v>
      </c>
    </row>
    <row r="133" spans="1:15" ht="15">
      <c r="A133" s="129" t="s">
        <v>83</v>
      </c>
      <c r="B133" s="131" t="s">
        <v>84</v>
      </c>
      <c r="C133" s="97">
        <v>971334</v>
      </c>
      <c r="D133" s="36"/>
      <c r="E133" s="20"/>
      <c r="F133" s="20"/>
      <c r="G133" s="58">
        <v>5900</v>
      </c>
      <c r="H133" s="20">
        <v>1200</v>
      </c>
      <c r="I133" s="20"/>
      <c r="J133" s="20">
        <f>6225+6900</f>
        <v>13125</v>
      </c>
      <c r="K133" s="20"/>
      <c r="L133" s="20"/>
      <c r="M133" s="20">
        <v>1700</v>
      </c>
      <c r="N133" s="56"/>
      <c r="O133" s="130">
        <f t="shared" si="31"/>
        <v>993259</v>
      </c>
    </row>
    <row r="134" spans="1:15" ht="43.5">
      <c r="A134" s="129" t="s">
        <v>85</v>
      </c>
      <c r="B134" s="131" t="s">
        <v>86</v>
      </c>
      <c r="C134" s="97">
        <f aca="true" t="shared" si="32" ref="C134:N134">SUM(C135:C151)</f>
        <v>3121048</v>
      </c>
      <c r="D134" s="97">
        <f t="shared" si="32"/>
        <v>2109688</v>
      </c>
      <c r="E134" s="97">
        <f t="shared" si="32"/>
        <v>0</v>
      </c>
      <c r="F134" s="97">
        <f t="shared" si="32"/>
        <v>240985</v>
      </c>
      <c r="G134" s="97">
        <f t="shared" si="32"/>
        <v>101041</v>
      </c>
      <c r="H134" s="97">
        <f t="shared" si="32"/>
        <v>129626</v>
      </c>
      <c r="I134" s="97">
        <f t="shared" si="32"/>
        <v>145362</v>
      </c>
      <c r="J134" s="97">
        <f t="shared" si="32"/>
        <v>301943</v>
      </c>
      <c r="K134" s="97">
        <f t="shared" si="32"/>
        <v>46844</v>
      </c>
      <c r="L134" s="97">
        <f t="shared" si="32"/>
        <v>102100</v>
      </c>
      <c r="M134" s="97">
        <f t="shared" si="32"/>
        <v>22455</v>
      </c>
      <c r="N134" s="97">
        <f t="shared" si="32"/>
        <v>107201</v>
      </c>
      <c r="O134" s="130">
        <f t="shared" si="31"/>
        <v>6428293</v>
      </c>
    </row>
    <row r="135" spans="1:15" ht="15">
      <c r="A135" s="55" t="s">
        <v>204</v>
      </c>
      <c r="B135" s="38" t="s">
        <v>455</v>
      </c>
      <c r="C135" s="56"/>
      <c r="D135" s="20">
        <v>2084339</v>
      </c>
      <c r="E135" s="20"/>
      <c r="F135" s="20">
        <f>99735-900</f>
        <v>98835</v>
      </c>
      <c r="G135" s="99"/>
      <c r="H135" s="53">
        <v>16950</v>
      </c>
      <c r="I135" s="20">
        <v>11670</v>
      </c>
      <c r="J135" s="20"/>
      <c r="K135" s="20"/>
      <c r="L135" s="20"/>
      <c r="M135" s="20"/>
      <c r="N135" s="20"/>
      <c r="O135" s="130">
        <f t="shared" si="31"/>
        <v>2211794</v>
      </c>
    </row>
    <row r="136" spans="1:15" ht="15">
      <c r="A136" s="55" t="s">
        <v>205</v>
      </c>
      <c r="B136" s="38" t="s">
        <v>456</v>
      </c>
      <c r="C136" s="56"/>
      <c r="D136" s="20"/>
      <c r="E136" s="20"/>
      <c r="F136" s="20">
        <f>158200-16050</f>
        <v>142150</v>
      </c>
      <c r="G136" s="99"/>
      <c r="H136" s="20">
        <v>54900</v>
      </c>
      <c r="I136" s="20">
        <v>79451</v>
      </c>
      <c r="J136" s="20">
        <v>129795</v>
      </c>
      <c r="K136" s="20"/>
      <c r="L136" s="20"/>
      <c r="M136" s="20"/>
      <c r="N136" s="56"/>
      <c r="O136" s="130">
        <f t="shared" si="31"/>
        <v>406296</v>
      </c>
    </row>
    <row r="137" spans="1:15" ht="15">
      <c r="A137" s="55" t="s">
        <v>206</v>
      </c>
      <c r="B137" s="38" t="s">
        <v>457</v>
      </c>
      <c r="C137" s="133">
        <f>36100+10200</f>
        <v>46300</v>
      </c>
      <c r="D137" s="20">
        <v>25349</v>
      </c>
      <c r="E137" s="20"/>
      <c r="F137" s="56"/>
      <c r="G137" s="20">
        <v>10586</v>
      </c>
      <c r="H137" s="20"/>
      <c r="I137" s="20"/>
      <c r="J137" s="20">
        <v>16088</v>
      </c>
      <c r="K137" s="20">
        <v>5184</v>
      </c>
      <c r="L137" s="20"/>
      <c r="M137" s="20">
        <v>4354</v>
      </c>
      <c r="N137" s="56"/>
      <c r="O137" s="130">
        <f t="shared" si="31"/>
        <v>107861</v>
      </c>
    </row>
    <row r="138" spans="1:15" ht="45">
      <c r="A138" s="11" t="s">
        <v>312</v>
      </c>
      <c r="B138" s="8" t="s">
        <v>384</v>
      </c>
      <c r="C138" s="27">
        <f>241023+9989</f>
        <v>251012</v>
      </c>
      <c r="D138" s="20"/>
      <c r="E138" s="20"/>
      <c r="F138" s="56"/>
      <c r="G138" s="20"/>
      <c r="H138" s="20"/>
      <c r="I138" s="20"/>
      <c r="J138" s="20"/>
      <c r="K138" s="20"/>
      <c r="L138" s="20"/>
      <c r="M138" s="20"/>
      <c r="N138" s="56"/>
      <c r="O138" s="130">
        <f t="shared" si="31"/>
        <v>251012</v>
      </c>
    </row>
    <row r="139" spans="1:15" ht="30">
      <c r="A139" s="55" t="s">
        <v>207</v>
      </c>
      <c r="B139" s="38" t="s">
        <v>313</v>
      </c>
      <c r="C139" s="27">
        <f>43600-20360</f>
        <v>23240</v>
      </c>
      <c r="D139" s="20"/>
      <c r="E139" s="20"/>
      <c r="F139" s="56"/>
      <c r="G139" s="20">
        <v>5968</v>
      </c>
      <c r="H139" s="20">
        <v>3000</v>
      </c>
      <c r="I139" s="20">
        <v>1496</v>
      </c>
      <c r="J139" s="20">
        <v>1494</v>
      </c>
      <c r="K139" s="20">
        <v>2615</v>
      </c>
      <c r="L139" s="20">
        <v>1500</v>
      </c>
      <c r="M139" s="20"/>
      <c r="N139" s="56">
        <f>4420-133</f>
        <v>4287</v>
      </c>
      <c r="O139" s="130">
        <f t="shared" si="31"/>
        <v>43600</v>
      </c>
    </row>
    <row r="140" spans="1:15" ht="30">
      <c r="A140" s="55" t="s">
        <v>208</v>
      </c>
      <c r="B140" s="156" t="s">
        <v>458</v>
      </c>
      <c r="C140" s="27">
        <f>55000+5595</f>
        <v>60595</v>
      </c>
      <c r="D140" s="20"/>
      <c r="E140" s="20"/>
      <c r="F140" s="56"/>
      <c r="G140" s="20">
        <v>5106</v>
      </c>
      <c r="H140" s="20"/>
      <c r="I140" s="20">
        <v>657</v>
      </c>
      <c r="J140" s="20">
        <v>8233</v>
      </c>
      <c r="K140" s="20"/>
      <c r="L140" s="20"/>
      <c r="M140" s="20"/>
      <c r="N140" s="56"/>
      <c r="O140" s="130">
        <f>SUM(C140:N140)</f>
        <v>74591</v>
      </c>
    </row>
    <row r="141" spans="1:15" ht="15">
      <c r="A141" s="55" t="s">
        <v>209</v>
      </c>
      <c r="B141" s="165" t="s">
        <v>459</v>
      </c>
      <c r="C141" s="56">
        <v>53000</v>
      </c>
      <c r="D141" s="56"/>
      <c r="E141" s="56"/>
      <c r="F141" s="56"/>
      <c r="G141" s="20">
        <v>5480</v>
      </c>
      <c r="H141" s="20"/>
      <c r="I141" s="20">
        <v>52088</v>
      </c>
      <c r="J141" s="20"/>
      <c r="K141" s="20">
        <v>19265</v>
      </c>
      <c r="L141" s="20"/>
      <c r="M141" s="20">
        <v>12848</v>
      </c>
      <c r="N141" s="56"/>
      <c r="O141" s="130">
        <f aca="true" t="shared" si="33" ref="O141:O194">SUM(C141:N141)</f>
        <v>142681</v>
      </c>
    </row>
    <row r="142" spans="1:15" ht="17.25" customHeight="1">
      <c r="A142" s="55" t="s">
        <v>210</v>
      </c>
      <c r="B142" s="38" t="s">
        <v>460</v>
      </c>
      <c r="C142" s="20">
        <f>5000+8418</f>
        <v>13418</v>
      </c>
      <c r="D142" s="20"/>
      <c r="E142" s="20"/>
      <c r="F142" s="56"/>
      <c r="G142" s="20"/>
      <c r="H142" s="20"/>
      <c r="I142" s="20"/>
      <c r="J142" s="20"/>
      <c r="K142" s="20"/>
      <c r="L142" s="20"/>
      <c r="M142" s="20"/>
      <c r="N142" s="56"/>
      <c r="O142" s="130">
        <f t="shared" si="33"/>
        <v>13418</v>
      </c>
    </row>
    <row r="143" spans="1:15" ht="15">
      <c r="A143" s="55" t="s">
        <v>211</v>
      </c>
      <c r="B143" s="39" t="s">
        <v>461</v>
      </c>
      <c r="C143" s="56"/>
      <c r="D143" s="56"/>
      <c r="E143" s="56"/>
      <c r="F143" s="56"/>
      <c r="G143" s="20"/>
      <c r="H143" s="20">
        <v>54776</v>
      </c>
      <c r="I143" s="20"/>
      <c r="J143" s="1">
        <v>146333</v>
      </c>
      <c r="K143" s="20">
        <v>19780</v>
      </c>
      <c r="L143" s="20">
        <v>100600</v>
      </c>
      <c r="M143" s="20"/>
      <c r="N143" s="62">
        <v>102914</v>
      </c>
      <c r="O143" s="130">
        <f t="shared" si="33"/>
        <v>424403</v>
      </c>
    </row>
    <row r="144" spans="1:15" ht="15">
      <c r="A144" s="55" t="s">
        <v>320</v>
      </c>
      <c r="B144" s="156" t="s">
        <v>314</v>
      </c>
      <c r="C144" s="20">
        <f>145574+71783</f>
        <v>217357</v>
      </c>
      <c r="D144" s="20"/>
      <c r="E144" s="20"/>
      <c r="F144" s="20"/>
      <c r="G144" s="20">
        <v>69531</v>
      </c>
      <c r="H144" s="20"/>
      <c r="I144" s="20"/>
      <c r="J144" s="1"/>
      <c r="K144" s="20"/>
      <c r="L144" s="20"/>
      <c r="M144" s="20">
        <v>5253</v>
      </c>
      <c r="N144" s="98"/>
      <c r="O144" s="130">
        <f t="shared" si="33"/>
        <v>292141</v>
      </c>
    </row>
    <row r="145" spans="1:15" ht="31.5">
      <c r="A145" s="11" t="s">
        <v>385</v>
      </c>
      <c r="B145" s="14" t="s">
        <v>386</v>
      </c>
      <c r="C145" s="20">
        <f>809180-16821</f>
        <v>792359</v>
      </c>
      <c r="D145" s="20"/>
      <c r="E145" s="20"/>
      <c r="F145" s="20"/>
      <c r="G145" s="20"/>
      <c r="H145" s="20"/>
      <c r="I145" s="20"/>
      <c r="J145" s="1"/>
      <c r="K145" s="20"/>
      <c r="L145" s="20"/>
      <c r="M145" s="20"/>
      <c r="N145" s="98"/>
      <c r="O145" s="130">
        <f t="shared" si="33"/>
        <v>792359</v>
      </c>
    </row>
    <row r="146" spans="1:15" ht="30">
      <c r="A146" s="11" t="s">
        <v>361</v>
      </c>
      <c r="B146" s="166" t="s">
        <v>366</v>
      </c>
      <c r="C146" s="56">
        <f>1302499+37625</f>
        <v>1340124</v>
      </c>
      <c r="D146" s="56"/>
      <c r="E146" s="56"/>
      <c r="F146" s="56"/>
      <c r="G146" s="20"/>
      <c r="H146" s="20"/>
      <c r="I146" s="20"/>
      <c r="J146" s="1"/>
      <c r="K146" s="56"/>
      <c r="L146" s="20"/>
      <c r="M146" s="20"/>
      <c r="N146" s="98"/>
      <c r="O146" s="130">
        <f t="shared" si="33"/>
        <v>1340124</v>
      </c>
    </row>
    <row r="147" spans="1:15" ht="30">
      <c r="A147" s="11" t="s">
        <v>414</v>
      </c>
      <c r="B147" s="23" t="s">
        <v>415</v>
      </c>
      <c r="C147" s="56">
        <v>8470</v>
      </c>
      <c r="D147" s="20"/>
      <c r="E147" s="20"/>
      <c r="F147" s="56"/>
      <c r="G147" s="20"/>
      <c r="H147" s="20"/>
      <c r="I147" s="20"/>
      <c r="J147" s="1"/>
      <c r="K147" s="20"/>
      <c r="L147" s="20"/>
      <c r="M147" s="20"/>
      <c r="N147" s="98"/>
      <c r="O147" s="130">
        <f t="shared" si="33"/>
        <v>8470</v>
      </c>
    </row>
    <row r="148" spans="1:15" ht="15.75">
      <c r="A148" s="11" t="s">
        <v>462</v>
      </c>
      <c r="B148" s="14" t="s">
        <v>463</v>
      </c>
      <c r="C148" s="56">
        <f>203440+16733</f>
        <v>220173</v>
      </c>
      <c r="D148" s="56"/>
      <c r="E148" s="56"/>
      <c r="F148" s="56"/>
      <c r="G148" s="56"/>
      <c r="H148" s="56"/>
      <c r="I148" s="56"/>
      <c r="J148" s="133"/>
      <c r="K148" s="56"/>
      <c r="L148" s="56"/>
      <c r="M148" s="56"/>
      <c r="N148" s="98"/>
      <c r="O148" s="130">
        <f t="shared" si="33"/>
        <v>220173</v>
      </c>
    </row>
    <row r="149" spans="1:15" ht="15.75">
      <c r="A149" s="11" t="s">
        <v>464</v>
      </c>
      <c r="B149" s="14" t="s">
        <v>465</v>
      </c>
      <c r="C149" s="56">
        <v>56000</v>
      </c>
      <c r="D149" s="56"/>
      <c r="E149" s="56"/>
      <c r="F149" s="56"/>
      <c r="G149" s="56"/>
      <c r="H149" s="56"/>
      <c r="I149" s="56"/>
      <c r="J149" s="133"/>
      <c r="K149" s="56"/>
      <c r="L149" s="56"/>
      <c r="M149" s="56"/>
      <c r="N149" s="98"/>
      <c r="O149" s="130">
        <f t="shared" si="33"/>
        <v>56000</v>
      </c>
    </row>
    <row r="150" spans="1:15" ht="15.75">
      <c r="A150" s="11" t="s">
        <v>466</v>
      </c>
      <c r="B150" s="227" t="s">
        <v>467</v>
      </c>
      <c r="C150" s="56">
        <v>39000</v>
      </c>
      <c r="D150" s="56"/>
      <c r="E150" s="56"/>
      <c r="F150" s="56"/>
      <c r="G150" s="56"/>
      <c r="H150" s="56"/>
      <c r="I150" s="56"/>
      <c r="J150" s="133"/>
      <c r="K150" s="56"/>
      <c r="L150" s="56"/>
      <c r="M150" s="56"/>
      <c r="N150" s="56"/>
      <c r="O150" s="130">
        <f t="shared" si="33"/>
        <v>39000</v>
      </c>
    </row>
    <row r="151" spans="1:15" ht="16.5" thickBot="1">
      <c r="A151" s="16" t="s">
        <v>529</v>
      </c>
      <c r="B151" s="167" t="s">
        <v>530</v>
      </c>
      <c r="C151" s="84"/>
      <c r="D151" s="84"/>
      <c r="E151" s="84"/>
      <c r="F151" s="84"/>
      <c r="G151" s="84">
        <v>4370</v>
      </c>
      <c r="H151" s="84"/>
      <c r="I151" s="84"/>
      <c r="J151" s="145"/>
      <c r="K151" s="84"/>
      <c r="L151" s="84"/>
      <c r="M151" s="84"/>
      <c r="N151" s="84"/>
      <c r="O151" s="130">
        <f t="shared" si="33"/>
        <v>4370</v>
      </c>
    </row>
    <row r="152" spans="1:15" ht="15.75" thickBot="1">
      <c r="A152" s="85" t="s">
        <v>4</v>
      </c>
      <c r="B152" s="47" t="s">
        <v>87</v>
      </c>
      <c r="C152" s="49">
        <f>SUM(C153+C155+C156)</f>
        <v>70920</v>
      </c>
      <c r="D152" s="49">
        <f aca="true" t="shared" si="34" ref="D152:N152">SUM(D153+D155+D156)</f>
        <v>0</v>
      </c>
      <c r="E152" s="49">
        <f t="shared" si="34"/>
        <v>0</v>
      </c>
      <c r="F152" s="49">
        <f t="shared" si="34"/>
        <v>0</v>
      </c>
      <c r="G152" s="49">
        <f t="shared" si="34"/>
        <v>1930</v>
      </c>
      <c r="H152" s="49">
        <f t="shared" si="34"/>
        <v>0</v>
      </c>
      <c r="I152" s="49">
        <f t="shared" si="34"/>
        <v>0</v>
      </c>
      <c r="J152" s="49">
        <f t="shared" si="34"/>
        <v>0</v>
      </c>
      <c r="K152" s="49">
        <f t="shared" si="34"/>
        <v>3194</v>
      </c>
      <c r="L152" s="49">
        <f t="shared" si="34"/>
        <v>27085</v>
      </c>
      <c r="M152" s="49">
        <f t="shared" si="34"/>
        <v>550</v>
      </c>
      <c r="N152" s="49">
        <f t="shared" si="34"/>
        <v>2110</v>
      </c>
      <c r="O152" s="50">
        <f>SUM(C152:N152)</f>
        <v>105789</v>
      </c>
    </row>
    <row r="153" spans="1:15" s="206" customFormat="1" ht="14.25">
      <c r="A153" s="122" t="s">
        <v>88</v>
      </c>
      <c r="B153" s="123" t="s">
        <v>89</v>
      </c>
      <c r="C153" s="124">
        <f>SUM(C154:C154)</f>
        <v>0</v>
      </c>
      <c r="D153" s="124">
        <f aca="true" t="shared" si="35" ref="D153:N153">SUM(D154:D154)</f>
        <v>0</v>
      </c>
      <c r="E153" s="124">
        <f t="shared" si="35"/>
        <v>0</v>
      </c>
      <c r="F153" s="124">
        <f t="shared" si="35"/>
        <v>0</v>
      </c>
      <c r="G153" s="124">
        <f>SUM(G154:G154)</f>
        <v>1930</v>
      </c>
      <c r="H153" s="124">
        <f t="shared" si="35"/>
        <v>0</v>
      </c>
      <c r="I153" s="124">
        <f t="shared" si="35"/>
        <v>0</v>
      </c>
      <c r="J153" s="124">
        <f t="shared" si="35"/>
        <v>0</v>
      </c>
      <c r="K153" s="124">
        <f t="shared" si="35"/>
        <v>3194</v>
      </c>
      <c r="L153" s="124">
        <f t="shared" si="35"/>
        <v>27085</v>
      </c>
      <c r="M153" s="124">
        <f t="shared" si="35"/>
        <v>550</v>
      </c>
      <c r="N153" s="124">
        <f t="shared" si="35"/>
        <v>2110</v>
      </c>
      <c r="O153" s="54">
        <f>SUM(C153:N153)</f>
        <v>34869</v>
      </c>
    </row>
    <row r="154" spans="1:15" s="206" customFormat="1" ht="15">
      <c r="A154" s="55" t="s">
        <v>315</v>
      </c>
      <c r="B154" s="26" t="s">
        <v>145</v>
      </c>
      <c r="C154" s="124"/>
      <c r="D154" s="124"/>
      <c r="E154" s="124"/>
      <c r="F154" s="124"/>
      <c r="G154" s="92">
        <v>1930</v>
      </c>
      <c r="H154" s="124"/>
      <c r="I154" s="124"/>
      <c r="J154" s="124"/>
      <c r="K154" s="92">
        <v>3194</v>
      </c>
      <c r="L154" s="124">
        <v>27085</v>
      </c>
      <c r="M154" s="36">
        <v>550</v>
      </c>
      <c r="N154" s="168">
        <v>2110</v>
      </c>
      <c r="O154" s="54">
        <f>SUM(C154:N154)</f>
        <v>34869</v>
      </c>
    </row>
    <row r="155" spans="1:15" s="206" customFormat="1" ht="28.5" customHeight="1">
      <c r="A155" s="11" t="s">
        <v>294</v>
      </c>
      <c r="B155" s="7" t="s">
        <v>321</v>
      </c>
      <c r="C155" s="27">
        <f>22324+27500</f>
        <v>49824</v>
      </c>
      <c r="D155" s="124"/>
      <c r="E155" s="124"/>
      <c r="F155" s="124"/>
      <c r="G155" s="92"/>
      <c r="H155" s="124"/>
      <c r="I155" s="124"/>
      <c r="J155" s="124"/>
      <c r="K155" s="92"/>
      <c r="L155" s="124"/>
      <c r="M155" s="36"/>
      <c r="N155" s="80"/>
      <c r="O155" s="130">
        <f t="shared" si="33"/>
        <v>49824</v>
      </c>
    </row>
    <row r="156" spans="1:15" ht="15.75" thickBot="1">
      <c r="A156" s="11" t="s">
        <v>360</v>
      </c>
      <c r="B156" s="17" t="s">
        <v>364</v>
      </c>
      <c r="C156" s="56">
        <v>21096</v>
      </c>
      <c r="D156" s="20"/>
      <c r="E156" s="20"/>
      <c r="F156" s="56"/>
      <c r="G156" s="20"/>
      <c r="H156" s="20"/>
      <c r="I156" s="20"/>
      <c r="J156" s="20"/>
      <c r="K156" s="20"/>
      <c r="L156" s="20"/>
      <c r="M156" s="20"/>
      <c r="N156" s="56"/>
      <c r="O156" s="130">
        <f t="shared" si="33"/>
        <v>21096</v>
      </c>
    </row>
    <row r="157" spans="1:15" ht="15.75" thickBot="1">
      <c r="A157" s="85" t="s">
        <v>6</v>
      </c>
      <c r="B157" s="47" t="s">
        <v>90</v>
      </c>
      <c r="C157" s="49">
        <f aca="true" t="shared" si="36" ref="C157:N157">C158+C162+C181+C184</f>
        <v>2041808</v>
      </c>
      <c r="D157" s="49">
        <f t="shared" si="36"/>
        <v>363673</v>
      </c>
      <c r="E157" s="49">
        <f t="shared" si="36"/>
        <v>1416830</v>
      </c>
      <c r="F157" s="49">
        <f t="shared" si="36"/>
        <v>0</v>
      </c>
      <c r="G157" s="49">
        <f t="shared" si="36"/>
        <v>220242</v>
      </c>
      <c r="H157" s="49">
        <f t="shared" si="36"/>
        <v>96005</v>
      </c>
      <c r="I157" s="49">
        <f t="shared" si="36"/>
        <v>127808</v>
      </c>
      <c r="J157" s="49">
        <f t="shared" si="36"/>
        <v>198651</v>
      </c>
      <c r="K157" s="49">
        <f t="shared" si="36"/>
        <v>42129</v>
      </c>
      <c r="L157" s="49">
        <f t="shared" si="36"/>
        <v>37293</v>
      </c>
      <c r="M157" s="49">
        <f t="shared" si="36"/>
        <v>89967</v>
      </c>
      <c r="N157" s="49">
        <f t="shared" si="36"/>
        <v>63713</v>
      </c>
      <c r="O157" s="50">
        <f t="shared" si="33"/>
        <v>4698119</v>
      </c>
    </row>
    <row r="158" spans="1:15" ht="15">
      <c r="A158" s="122" t="s">
        <v>91</v>
      </c>
      <c r="B158" s="123" t="s">
        <v>92</v>
      </c>
      <c r="C158" s="124">
        <f aca="true" t="shared" si="37" ref="C158:N158">SUM(C159:C161)</f>
        <v>524117</v>
      </c>
      <c r="D158" s="124">
        <f t="shared" si="37"/>
        <v>363673</v>
      </c>
      <c r="E158" s="124">
        <f t="shared" si="37"/>
        <v>0</v>
      </c>
      <c r="F158" s="124">
        <f t="shared" si="37"/>
        <v>0</v>
      </c>
      <c r="G158" s="124">
        <f t="shared" si="37"/>
        <v>5470</v>
      </c>
      <c r="H158" s="124">
        <f t="shared" si="37"/>
        <v>0</v>
      </c>
      <c r="I158" s="124">
        <f t="shared" si="37"/>
        <v>0</v>
      </c>
      <c r="J158" s="124">
        <f t="shared" si="37"/>
        <v>7072</v>
      </c>
      <c r="K158" s="124">
        <f t="shared" si="37"/>
        <v>0</v>
      </c>
      <c r="L158" s="124">
        <f t="shared" si="37"/>
        <v>0</v>
      </c>
      <c r="M158" s="124">
        <f t="shared" si="37"/>
        <v>8400</v>
      </c>
      <c r="N158" s="124">
        <f t="shared" si="37"/>
        <v>0</v>
      </c>
      <c r="O158" s="160">
        <f t="shared" si="33"/>
        <v>908732</v>
      </c>
    </row>
    <row r="159" spans="1:15" ht="15">
      <c r="A159" s="55" t="s">
        <v>212</v>
      </c>
      <c r="B159" s="26" t="s">
        <v>93</v>
      </c>
      <c r="C159" s="56">
        <f>66185+28085</f>
        <v>94270</v>
      </c>
      <c r="D159" s="20"/>
      <c r="E159" s="20"/>
      <c r="F159" s="56"/>
      <c r="G159" s="20">
        <v>5470</v>
      </c>
      <c r="H159" s="20"/>
      <c r="I159" s="20"/>
      <c r="J159" s="20">
        <v>7072</v>
      </c>
      <c r="K159" s="20"/>
      <c r="L159" s="20"/>
      <c r="M159" s="20">
        <v>8400</v>
      </c>
      <c r="N159" s="56"/>
      <c r="O159" s="130">
        <f t="shared" si="33"/>
        <v>115212</v>
      </c>
    </row>
    <row r="160" spans="1:15" ht="30">
      <c r="A160" s="55" t="s">
        <v>213</v>
      </c>
      <c r="B160" s="26" t="s">
        <v>94</v>
      </c>
      <c r="C160" s="56">
        <f>396260+33587</f>
        <v>429847</v>
      </c>
      <c r="D160" s="20"/>
      <c r="E160" s="20"/>
      <c r="F160" s="56"/>
      <c r="G160" s="20"/>
      <c r="H160" s="20"/>
      <c r="I160" s="20"/>
      <c r="J160" s="20"/>
      <c r="K160" s="20"/>
      <c r="L160" s="20"/>
      <c r="M160" s="20"/>
      <c r="N160" s="56"/>
      <c r="O160" s="130">
        <f t="shared" si="33"/>
        <v>429847</v>
      </c>
    </row>
    <row r="161" spans="1:15" ht="15">
      <c r="A161" s="55" t="s">
        <v>282</v>
      </c>
      <c r="B161" s="26" t="s">
        <v>283</v>
      </c>
      <c r="C161" s="56"/>
      <c r="D161" s="56">
        <v>363673</v>
      </c>
      <c r="E161" s="56"/>
      <c r="F161" s="56"/>
      <c r="G161" s="20"/>
      <c r="H161" s="56"/>
      <c r="I161" s="56"/>
      <c r="J161" s="56"/>
      <c r="K161" s="56"/>
      <c r="L161" s="56"/>
      <c r="M161" s="56"/>
      <c r="N161" s="56"/>
      <c r="O161" s="130">
        <f t="shared" si="33"/>
        <v>363673</v>
      </c>
    </row>
    <row r="162" spans="1:15" ht="15">
      <c r="A162" s="129" t="s">
        <v>95</v>
      </c>
      <c r="B162" s="131" t="s">
        <v>5</v>
      </c>
      <c r="C162" s="97">
        <f aca="true" t="shared" si="38" ref="C162:N162">SUM(C163+C164+C167+C171)</f>
        <v>1368404</v>
      </c>
      <c r="D162" s="97">
        <f t="shared" si="38"/>
        <v>0</v>
      </c>
      <c r="E162" s="97">
        <f t="shared" si="38"/>
        <v>1416830</v>
      </c>
      <c r="F162" s="97">
        <f t="shared" si="38"/>
        <v>0</v>
      </c>
      <c r="G162" s="97">
        <f t="shared" si="38"/>
        <v>214772</v>
      </c>
      <c r="H162" s="97">
        <f t="shared" si="38"/>
        <v>96005</v>
      </c>
      <c r="I162" s="97">
        <f t="shared" si="38"/>
        <v>124048</v>
      </c>
      <c r="J162" s="97">
        <f t="shared" si="38"/>
        <v>189790</v>
      </c>
      <c r="K162" s="97">
        <f t="shared" si="38"/>
        <v>42129</v>
      </c>
      <c r="L162" s="97">
        <f t="shared" si="38"/>
        <v>37293</v>
      </c>
      <c r="M162" s="97">
        <f t="shared" si="38"/>
        <v>81567</v>
      </c>
      <c r="N162" s="97">
        <f t="shared" si="38"/>
        <v>63713</v>
      </c>
      <c r="O162" s="130">
        <f t="shared" si="33"/>
        <v>3634551</v>
      </c>
    </row>
    <row r="163" spans="1:15" ht="15">
      <c r="A163" s="55" t="s">
        <v>338</v>
      </c>
      <c r="B163" s="26" t="s">
        <v>146</v>
      </c>
      <c r="C163" s="56">
        <f>403186+3481</f>
        <v>406667</v>
      </c>
      <c r="D163" s="20"/>
      <c r="E163" s="20"/>
      <c r="F163" s="56"/>
      <c r="G163" s="61">
        <v>35837</v>
      </c>
      <c r="H163" s="20">
        <v>30931</v>
      </c>
      <c r="I163" s="20">
        <v>14395</v>
      </c>
      <c r="J163" s="20">
        <v>31054</v>
      </c>
      <c r="K163" s="20">
        <v>15331</v>
      </c>
      <c r="L163" s="20">
        <v>14153</v>
      </c>
      <c r="M163" s="20">
        <v>16243</v>
      </c>
      <c r="N163" s="62">
        <v>16700</v>
      </c>
      <c r="O163" s="130">
        <f t="shared" si="33"/>
        <v>581311</v>
      </c>
    </row>
    <row r="164" spans="1:15" ht="15">
      <c r="A164" s="55" t="s">
        <v>387</v>
      </c>
      <c r="B164" s="26" t="s">
        <v>125</v>
      </c>
      <c r="C164" s="56">
        <f aca="true" t="shared" si="39" ref="C164:N164">SUM(C165:C166)</f>
        <v>205456</v>
      </c>
      <c r="D164" s="56">
        <f t="shared" si="39"/>
        <v>0</v>
      </c>
      <c r="E164" s="56">
        <f t="shared" si="39"/>
        <v>0</v>
      </c>
      <c r="F164" s="56">
        <f t="shared" si="39"/>
        <v>0</v>
      </c>
      <c r="G164" s="56">
        <f t="shared" si="39"/>
        <v>0</v>
      </c>
      <c r="H164" s="56">
        <f t="shared" si="39"/>
        <v>0</v>
      </c>
      <c r="I164" s="56">
        <f t="shared" si="39"/>
        <v>0</v>
      </c>
      <c r="J164" s="56">
        <f t="shared" si="39"/>
        <v>0</v>
      </c>
      <c r="K164" s="56">
        <f t="shared" si="39"/>
        <v>0</v>
      </c>
      <c r="L164" s="56">
        <f t="shared" si="39"/>
        <v>0</v>
      </c>
      <c r="M164" s="56">
        <f t="shared" si="39"/>
        <v>11927</v>
      </c>
      <c r="N164" s="56">
        <f t="shared" si="39"/>
        <v>0</v>
      </c>
      <c r="O164" s="130">
        <f t="shared" si="33"/>
        <v>217383</v>
      </c>
    </row>
    <row r="165" spans="1:15" ht="15">
      <c r="A165" s="55" t="s">
        <v>214</v>
      </c>
      <c r="B165" s="26" t="s">
        <v>262</v>
      </c>
      <c r="C165" s="56">
        <f>198636+6820</f>
        <v>205456</v>
      </c>
      <c r="D165" s="20"/>
      <c r="E165" s="20"/>
      <c r="F165" s="56"/>
      <c r="G165" s="20"/>
      <c r="H165" s="20"/>
      <c r="I165" s="20"/>
      <c r="J165" s="20"/>
      <c r="K165" s="20"/>
      <c r="L165" s="20"/>
      <c r="M165" s="20"/>
      <c r="N165" s="60"/>
      <c r="O165" s="130">
        <f t="shared" si="33"/>
        <v>205456</v>
      </c>
    </row>
    <row r="166" spans="1:15" ht="15">
      <c r="A166" s="55" t="s">
        <v>347</v>
      </c>
      <c r="B166" s="38" t="s">
        <v>468</v>
      </c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20">
        <v>11927</v>
      </c>
      <c r="N166" s="60"/>
      <c r="O166" s="130">
        <f t="shared" si="33"/>
        <v>11927</v>
      </c>
    </row>
    <row r="167" spans="1:15" ht="15">
      <c r="A167" s="55" t="s">
        <v>96</v>
      </c>
      <c r="B167" s="26" t="s">
        <v>388</v>
      </c>
      <c r="C167" s="56">
        <f aca="true" t="shared" si="40" ref="C167:N167">SUM(C168:C170)</f>
        <v>0</v>
      </c>
      <c r="D167" s="56">
        <f t="shared" si="40"/>
        <v>0</v>
      </c>
      <c r="E167" s="56">
        <f t="shared" si="40"/>
        <v>1416830</v>
      </c>
      <c r="F167" s="56">
        <f t="shared" si="40"/>
        <v>0</v>
      </c>
      <c r="G167" s="56">
        <f t="shared" si="40"/>
        <v>178935</v>
      </c>
      <c r="H167" s="56">
        <f t="shared" si="40"/>
        <v>65074</v>
      </c>
      <c r="I167" s="56">
        <f t="shared" si="40"/>
        <v>108853</v>
      </c>
      <c r="J167" s="56">
        <f t="shared" si="40"/>
        <v>152421</v>
      </c>
      <c r="K167" s="56">
        <f t="shared" si="40"/>
        <v>26498</v>
      </c>
      <c r="L167" s="56">
        <f t="shared" si="40"/>
        <v>22640</v>
      </c>
      <c r="M167" s="56">
        <f t="shared" si="40"/>
        <v>53397</v>
      </c>
      <c r="N167" s="56">
        <f t="shared" si="40"/>
        <v>38513</v>
      </c>
      <c r="O167" s="130">
        <f t="shared" si="33"/>
        <v>2063161</v>
      </c>
    </row>
    <row r="168" spans="1:15" ht="15">
      <c r="A168" s="55" t="s">
        <v>295</v>
      </c>
      <c r="B168" s="26" t="s">
        <v>323</v>
      </c>
      <c r="C168" s="56"/>
      <c r="D168" s="20"/>
      <c r="E168" s="20">
        <f>412469-107854</f>
        <v>304615</v>
      </c>
      <c r="F168" s="56"/>
      <c r="G168" s="61">
        <v>178935</v>
      </c>
      <c r="H168" s="20">
        <v>65074</v>
      </c>
      <c r="I168" s="20">
        <v>90320</v>
      </c>
      <c r="J168" s="20">
        <v>152421</v>
      </c>
      <c r="K168" s="20">
        <v>26498</v>
      </c>
      <c r="L168" s="20">
        <v>22640</v>
      </c>
      <c r="M168" s="20">
        <v>53397</v>
      </c>
      <c r="N168" s="150">
        <v>38513</v>
      </c>
      <c r="O168" s="130">
        <f t="shared" si="33"/>
        <v>932413</v>
      </c>
    </row>
    <row r="169" spans="1:15" ht="15">
      <c r="A169" s="55" t="s">
        <v>348</v>
      </c>
      <c r="B169" s="26" t="s">
        <v>389</v>
      </c>
      <c r="C169" s="56"/>
      <c r="D169" s="20"/>
      <c r="E169" s="20"/>
      <c r="F169" s="56"/>
      <c r="G169" s="61"/>
      <c r="H169" s="20"/>
      <c r="I169" s="20">
        <v>18533</v>
      </c>
      <c r="J169" s="20"/>
      <c r="K169" s="20"/>
      <c r="L169" s="20"/>
      <c r="M169" s="20"/>
      <c r="N169" s="60"/>
      <c r="O169" s="130">
        <f t="shared" si="33"/>
        <v>18533</v>
      </c>
    </row>
    <row r="170" spans="1:15" ht="15">
      <c r="A170" s="55" t="s">
        <v>322</v>
      </c>
      <c r="B170" s="26" t="s">
        <v>126</v>
      </c>
      <c r="C170" s="56"/>
      <c r="D170" s="20"/>
      <c r="E170" s="20">
        <f>1104469+78143-397-70000</f>
        <v>1112215</v>
      </c>
      <c r="F170" s="56"/>
      <c r="G170" s="20"/>
      <c r="H170" s="20"/>
      <c r="I170" s="20"/>
      <c r="J170" s="20"/>
      <c r="K170" s="20"/>
      <c r="L170" s="20"/>
      <c r="M170" s="20"/>
      <c r="N170" s="56"/>
      <c r="O170" s="130">
        <f t="shared" si="33"/>
        <v>1112215</v>
      </c>
    </row>
    <row r="171" spans="1:15" s="206" customFormat="1" ht="14.25">
      <c r="A171" s="129" t="s">
        <v>97</v>
      </c>
      <c r="B171" s="94" t="s">
        <v>215</v>
      </c>
      <c r="C171" s="36">
        <f aca="true" t="shared" si="41" ref="C171:N171">SUM(C172:C180)</f>
        <v>756281</v>
      </c>
      <c r="D171" s="36">
        <f t="shared" si="41"/>
        <v>0</v>
      </c>
      <c r="E171" s="36">
        <f t="shared" si="41"/>
        <v>0</v>
      </c>
      <c r="F171" s="36">
        <f t="shared" si="41"/>
        <v>0</v>
      </c>
      <c r="G171" s="36">
        <f t="shared" si="41"/>
        <v>0</v>
      </c>
      <c r="H171" s="36">
        <f t="shared" si="41"/>
        <v>0</v>
      </c>
      <c r="I171" s="36">
        <f t="shared" si="41"/>
        <v>800</v>
      </c>
      <c r="J171" s="36">
        <f t="shared" si="41"/>
        <v>6315</v>
      </c>
      <c r="K171" s="36">
        <f t="shared" si="41"/>
        <v>300</v>
      </c>
      <c r="L171" s="36">
        <f t="shared" si="41"/>
        <v>500</v>
      </c>
      <c r="M171" s="36">
        <f t="shared" si="41"/>
        <v>0</v>
      </c>
      <c r="N171" s="36">
        <f t="shared" si="41"/>
        <v>8500</v>
      </c>
      <c r="O171" s="130">
        <f t="shared" si="33"/>
        <v>772696</v>
      </c>
    </row>
    <row r="172" spans="1:15" ht="15">
      <c r="A172" s="55" t="s">
        <v>216</v>
      </c>
      <c r="B172" s="38" t="s">
        <v>296</v>
      </c>
      <c r="C172" s="133">
        <f>78885+15000-3152</f>
        <v>90733</v>
      </c>
      <c r="D172" s="20"/>
      <c r="E172" s="20"/>
      <c r="F172" s="56"/>
      <c r="G172" s="20"/>
      <c r="H172" s="20"/>
      <c r="I172" s="20"/>
      <c r="J172" s="20"/>
      <c r="K172" s="20"/>
      <c r="L172" s="20"/>
      <c r="M172" s="20"/>
      <c r="N172" s="56">
        <v>7500</v>
      </c>
      <c r="O172" s="130">
        <f t="shared" si="33"/>
        <v>98233</v>
      </c>
    </row>
    <row r="173" spans="1:15" ht="15">
      <c r="A173" s="55" t="s">
        <v>217</v>
      </c>
      <c r="B173" s="38" t="s">
        <v>127</v>
      </c>
      <c r="C173" s="56">
        <f>158278+135051</f>
        <v>293329</v>
      </c>
      <c r="D173" s="20"/>
      <c r="E173" s="20"/>
      <c r="F173" s="56"/>
      <c r="G173" s="20"/>
      <c r="H173" s="20"/>
      <c r="I173" s="20"/>
      <c r="J173" s="20"/>
      <c r="K173" s="20"/>
      <c r="L173" s="20"/>
      <c r="M173" s="20"/>
      <c r="N173" s="56"/>
      <c r="O173" s="130">
        <f t="shared" si="33"/>
        <v>293329</v>
      </c>
    </row>
    <row r="174" spans="1:15" ht="30">
      <c r="A174" s="55" t="s">
        <v>316</v>
      </c>
      <c r="B174" s="38" t="s">
        <v>469</v>
      </c>
      <c r="C174" s="133">
        <f>20000-8915</f>
        <v>11085</v>
      </c>
      <c r="D174" s="20"/>
      <c r="E174" s="20"/>
      <c r="F174" s="56"/>
      <c r="G174" s="20"/>
      <c r="H174" s="20"/>
      <c r="I174" s="20">
        <v>800</v>
      </c>
      <c r="J174" s="20">
        <v>6315</v>
      </c>
      <c r="K174" s="20">
        <v>300</v>
      </c>
      <c r="L174" s="20">
        <v>500</v>
      </c>
      <c r="M174" s="20"/>
      <c r="N174" s="56">
        <v>1000</v>
      </c>
      <c r="O174" s="130">
        <f t="shared" si="33"/>
        <v>20000</v>
      </c>
    </row>
    <row r="175" spans="1:15" ht="30">
      <c r="A175" s="11" t="s">
        <v>319</v>
      </c>
      <c r="B175" s="9" t="s">
        <v>390</v>
      </c>
      <c r="C175" s="56">
        <f>167444-369</f>
        <v>167075</v>
      </c>
      <c r="D175" s="20"/>
      <c r="E175" s="20"/>
      <c r="F175" s="56"/>
      <c r="G175" s="20"/>
      <c r="H175" s="20"/>
      <c r="I175" s="20"/>
      <c r="J175" s="20"/>
      <c r="K175" s="20"/>
      <c r="L175" s="20"/>
      <c r="M175" s="20"/>
      <c r="N175" s="56"/>
      <c r="O175" s="130">
        <f t="shared" si="33"/>
        <v>167075</v>
      </c>
    </row>
    <row r="176" spans="1:15" ht="45">
      <c r="A176" s="55" t="s">
        <v>270</v>
      </c>
      <c r="B176" s="169" t="s">
        <v>470</v>
      </c>
      <c r="C176" s="56">
        <v>20000</v>
      </c>
      <c r="D176" s="20"/>
      <c r="E176" s="20"/>
      <c r="F176" s="56"/>
      <c r="G176" s="20"/>
      <c r="H176" s="20"/>
      <c r="I176" s="20"/>
      <c r="J176" s="20"/>
      <c r="K176" s="20"/>
      <c r="L176" s="20"/>
      <c r="M176" s="20"/>
      <c r="N176" s="56"/>
      <c r="O176" s="130">
        <f t="shared" si="33"/>
        <v>20000</v>
      </c>
    </row>
    <row r="177" spans="1:15" ht="47.25">
      <c r="A177" s="11" t="s">
        <v>391</v>
      </c>
      <c r="B177" s="15" t="s">
        <v>471</v>
      </c>
      <c r="C177" s="56">
        <v>53540</v>
      </c>
      <c r="D177" s="20"/>
      <c r="E177" s="20"/>
      <c r="F177" s="56"/>
      <c r="G177" s="20"/>
      <c r="H177" s="20"/>
      <c r="I177" s="20"/>
      <c r="J177" s="20"/>
      <c r="K177" s="20"/>
      <c r="L177" s="20"/>
      <c r="M177" s="20"/>
      <c r="N177" s="56"/>
      <c r="O177" s="130">
        <f t="shared" si="33"/>
        <v>53540</v>
      </c>
    </row>
    <row r="178" spans="1:15" ht="45">
      <c r="A178" s="11" t="s">
        <v>417</v>
      </c>
      <c r="B178" s="29" t="s">
        <v>416</v>
      </c>
      <c r="C178" s="56">
        <f>53875+12294</f>
        <v>66169</v>
      </c>
      <c r="D178" s="20"/>
      <c r="E178" s="20"/>
      <c r="F178" s="56"/>
      <c r="G178" s="20"/>
      <c r="H178" s="20"/>
      <c r="I178" s="20"/>
      <c r="J178" s="20"/>
      <c r="K178" s="20"/>
      <c r="L178" s="20"/>
      <c r="M178" s="20"/>
      <c r="N178" s="56"/>
      <c r="O178" s="130">
        <f t="shared" si="33"/>
        <v>66169</v>
      </c>
    </row>
    <row r="179" spans="1:15" ht="30">
      <c r="A179" s="11" t="s">
        <v>489</v>
      </c>
      <c r="B179" s="29" t="s">
        <v>490</v>
      </c>
      <c r="C179" s="56">
        <v>51750</v>
      </c>
      <c r="D179" s="20"/>
      <c r="E179" s="20"/>
      <c r="F179" s="56"/>
      <c r="G179" s="20"/>
      <c r="H179" s="20"/>
      <c r="I179" s="20"/>
      <c r="J179" s="20"/>
      <c r="K179" s="20"/>
      <c r="L179" s="20"/>
      <c r="M179" s="20"/>
      <c r="N179" s="56"/>
      <c r="O179" s="130">
        <f t="shared" si="33"/>
        <v>51750</v>
      </c>
    </row>
    <row r="180" spans="1:15" ht="30">
      <c r="A180" s="11" t="s">
        <v>497</v>
      </c>
      <c r="B180" s="29" t="s">
        <v>542</v>
      </c>
      <c r="C180" s="56">
        <v>2600</v>
      </c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130">
        <f t="shared" si="33"/>
        <v>2600</v>
      </c>
    </row>
    <row r="181" spans="1:15" ht="15">
      <c r="A181" s="129" t="s">
        <v>324</v>
      </c>
      <c r="B181" s="170" t="s">
        <v>325</v>
      </c>
      <c r="C181" s="56">
        <f aca="true" t="shared" si="42" ref="C181:N181">SUM(C182:C183)</f>
        <v>133124</v>
      </c>
      <c r="D181" s="56">
        <f t="shared" si="42"/>
        <v>0</v>
      </c>
      <c r="E181" s="56">
        <f t="shared" si="42"/>
        <v>0</v>
      </c>
      <c r="F181" s="56">
        <f t="shared" si="42"/>
        <v>0</v>
      </c>
      <c r="G181" s="56">
        <f t="shared" si="42"/>
        <v>0</v>
      </c>
      <c r="H181" s="56">
        <f t="shared" si="42"/>
        <v>0</v>
      </c>
      <c r="I181" s="56">
        <f t="shared" si="42"/>
        <v>3760</v>
      </c>
      <c r="J181" s="56">
        <f t="shared" si="42"/>
        <v>1789</v>
      </c>
      <c r="K181" s="56">
        <f t="shared" si="42"/>
        <v>0</v>
      </c>
      <c r="L181" s="56">
        <f t="shared" si="42"/>
        <v>0</v>
      </c>
      <c r="M181" s="56">
        <f t="shared" si="42"/>
        <v>0</v>
      </c>
      <c r="N181" s="56">
        <f t="shared" si="42"/>
        <v>0</v>
      </c>
      <c r="O181" s="130">
        <f t="shared" si="33"/>
        <v>138673</v>
      </c>
    </row>
    <row r="182" spans="1:15" ht="15">
      <c r="A182" s="10" t="s">
        <v>349</v>
      </c>
      <c r="B182" s="94" t="s">
        <v>98</v>
      </c>
      <c r="C182" s="171">
        <v>60000</v>
      </c>
      <c r="D182" s="36"/>
      <c r="E182" s="36"/>
      <c r="F182" s="97"/>
      <c r="G182" s="20"/>
      <c r="H182" s="20"/>
      <c r="I182" s="20"/>
      <c r="J182" s="20"/>
      <c r="K182" s="20"/>
      <c r="L182" s="20"/>
      <c r="M182" s="20"/>
      <c r="N182" s="56"/>
      <c r="O182" s="130">
        <f t="shared" si="33"/>
        <v>60000</v>
      </c>
    </row>
    <row r="183" spans="1:15" ht="29.25">
      <c r="A183" s="10" t="s">
        <v>350</v>
      </c>
      <c r="B183" s="94" t="s">
        <v>99</v>
      </c>
      <c r="C183" s="97">
        <v>73124</v>
      </c>
      <c r="D183" s="36"/>
      <c r="E183" s="36"/>
      <c r="F183" s="97"/>
      <c r="G183" s="20"/>
      <c r="H183" s="20"/>
      <c r="I183" s="20">
        <v>3760</v>
      </c>
      <c r="J183" s="20">
        <v>1789</v>
      </c>
      <c r="K183" s="20"/>
      <c r="L183" s="20"/>
      <c r="M183" s="20"/>
      <c r="N183" s="56"/>
      <c r="O183" s="130">
        <f t="shared" si="33"/>
        <v>78673</v>
      </c>
    </row>
    <row r="184" spans="1:15" ht="44.25" thickBot="1">
      <c r="A184" s="18" t="s">
        <v>531</v>
      </c>
      <c r="B184" s="172" t="s">
        <v>532</v>
      </c>
      <c r="C184" s="147">
        <f>15000+1163</f>
        <v>16163</v>
      </c>
      <c r="D184" s="173"/>
      <c r="E184" s="173"/>
      <c r="F184" s="147"/>
      <c r="G184" s="83"/>
      <c r="H184" s="83"/>
      <c r="I184" s="83"/>
      <c r="J184" s="83"/>
      <c r="K184" s="83"/>
      <c r="L184" s="83"/>
      <c r="M184" s="83"/>
      <c r="N184" s="84"/>
      <c r="O184" s="130">
        <f t="shared" si="33"/>
        <v>16163</v>
      </c>
    </row>
    <row r="185" spans="1:15" ht="15.75" thickBot="1">
      <c r="A185" s="174" t="s">
        <v>100</v>
      </c>
      <c r="B185" s="159" t="s">
        <v>0</v>
      </c>
      <c r="C185" s="48">
        <f aca="true" t="shared" si="43" ref="C185:N185">C186+C196+C197+C208+C215+C219+C220</f>
        <v>17362873</v>
      </c>
      <c r="D185" s="48">
        <f t="shared" si="43"/>
        <v>0</v>
      </c>
      <c r="E185" s="48">
        <f t="shared" si="43"/>
        <v>0</v>
      </c>
      <c r="F185" s="48">
        <f t="shared" si="43"/>
        <v>0</v>
      </c>
      <c r="G185" s="48">
        <f t="shared" si="43"/>
        <v>1614353</v>
      </c>
      <c r="H185" s="48">
        <f t="shared" si="43"/>
        <v>0</v>
      </c>
      <c r="I185" s="48">
        <f t="shared" si="43"/>
        <v>468768</v>
      </c>
      <c r="J185" s="48">
        <f t="shared" si="43"/>
        <v>1409334</v>
      </c>
      <c r="K185" s="48">
        <f t="shared" si="43"/>
        <v>33680</v>
      </c>
      <c r="L185" s="48">
        <f t="shared" si="43"/>
        <v>24040</v>
      </c>
      <c r="M185" s="48">
        <f t="shared" si="43"/>
        <v>38286</v>
      </c>
      <c r="N185" s="48">
        <f t="shared" si="43"/>
        <v>633107</v>
      </c>
      <c r="O185" s="50">
        <f t="shared" si="33"/>
        <v>21584441</v>
      </c>
    </row>
    <row r="186" spans="1:15" ht="15">
      <c r="A186" s="122" t="s">
        <v>101</v>
      </c>
      <c r="B186" s="123" t="s">
        <v>218</v>
      </c>
      <c r="C186" s="124">
        <f>SUM(C187:C195)</f>
        <v>4973142</v>
      </c>
      <c r="D186" s="124">
        <f aca="true" t="shared" si="44" ref="D186:N186">SUM(D187:D195)</f>
        <v>0</v>
      </c>
      <c r="E186" s="124">
        <f t="shared" si="44"/>
        <v>0</v>
      </c>
      <c r="F186" s="124">
        <f t="shared" si="44"/>
        <v>0</v>
      </c>
      <c r="G186" s="124">
        <f t="shared" si="44"/>
        <v>0</v>
      </c>
      <c r="H186" s="124">
        <f t="shared" si="44"/>
        <v>0</v>
      </c>
      <c r="I186" s="124">
        <f t="shared" si="44"/>
        <v>0</v>
      </c>
      <c r="J186" s="124">
        <f t="shared" si="44"/>
        <v>369284</v>
      </c>
      <c r="K186" s="124">
        <f t="shared" si="44"/>
        <v>0</v>
      </c>
      <c r="L186" s="124">
        <f t="shared" si="44"/>
        <v>0</v>
      </c>
      <c r="M186" s="124">
        <f t="shared" si="44"/>
        <v>0</v>
      </c>
      <c r="N186" s="124">
        <f t="shared" si="44"/>
        <v>0</v>
      </c>
      <c r="O186" s="160">
        <f t="shared" si="33"/>
        <v>5342426</v>
      </c>
    </row>
    <row r="187" spans="1:15" ht="15">
      <c r="A187" s="55" t="s">
        <v>219</v>
      </c>
      <c r="B187" s="26" t="s">
        <v>102</v>
      </c>
      <c r="C187" s="56">
        <f>850445-135+49270</f>
        <v>899580</v>
      </c>
      <c r="D187" s="20"/>
      <c r="E187" s="20"/>
      <c r="F187" s="56"/>
      <c r="G187" s="20"/>
      <c r="H187" s="20"/>
      <c r="I187" s="20"/>
      <c r="J187" s="20"/>
      <c r="K187" s="20"/>
      <c r="L187" s="20"/>
      <c r="M187" s="20"/>
      <c r="N187" s="56"/>
      <c r="O187" s="130">
        <f t="shared" si="33"/>
        <v>899580</v>
      </c>
    </row>
    <row r="188" spans="1:15" ht="15">
      <c r="A188" s="55" t="s">
        <v>220</v>
      </c>
      <c r="B188" s="26" t="s">
        <v>103</v>
      </c>
      <c r="C188" s="56">
        <f>626427+28768</f>
        <v>655195</v>
      </c>
      <c r="D188" s="20"/>
      <c r="E188" s="20"/>
      <c r="F188" s="56"/>
      <c r="G188" s="20"/>
      <c r="H188" s="20"/>
      <c r="I188" s="20"/>
      <c r="J188" s="20"/>
      <c r="K188" s="20"/>
      <c r="L188" s="20"/>
      <c r="M188" s="20"/>
      <c r="N188" s="56"/>
      <c r="O188" s="130">
        <f t="shared" si="33"/>
        <v>655195</v>
      </c>
    </row>
    <row r="189" spans="1:15" ht="15">
      <c r="A189" s="55" t="s">
        <v>221</v>
      </c>
      <c r="B189" s="26" t="s">
        <v>104</v>
      </c>
      <c r="C189" s="56">
        <f>655765+2544+48732</f>
        <v>707041</v>
      </c>
      <c r="D189" s="20"/>
      <c r="E189" s="20"/>
      <c r="F189" s="56"/>
      <c r="G189" s="20"/>
      <c r="H189" s="20"/>
      <c r="I189" s="20"/>
      <c r="J189" s="20"/>
      <c r="K189" s="20"/>
      <c r="L189" s="20"/>
      <c r="M189" s="20"/>
      <c r="N189" s="56"/>
      <c r="O189" s="130">
        <f t="shared" si="33"/>
        <v>707041</v>
      </c>
    </row>
    <row r="190" spans="1:15" ht="15">
      <c r="A190" s="55" t="s">
        <v>222</v>
      </c>
      <c r="B190" s="26" t="s">
        <v>105</v>
      </c>
      <c r="C190" s="56">
        <f>727519+45964</f>
        <v>773483</v>
      </c>
      <c r="D190" s="20"/>
      <c r="E190" s="20"/>
      <c r="F190" s="56"/>
      <c r="G190" s="20"/>
      <c r="H190" s="20"/>
      <c r="I190" s="20"/>
      <c r="J190" s="20"/>
      <c r="K190" s="20"/>
      <c r="L190" s="20"/>
      <c r="M190" s="20"/>
      <c r="N190" s="56"/>
      <c r="O190" s="130">
        <f t="shared" si="33"/>
        <v>773483</v>
      </c>
    </row>
    <row r="191" spans="1:15" ht="15">
      <c r="A191" s="55" t="s">
        <v>223</v>
      </c>
      <c r="B191" s="26" t="s">
        <v>106</v>
      </c>
      <c r="C191" s="56">
        <f>411221+56137+18560</f>
        <v>485918</v>
      </c>
      <c r="D191" s="20"/>
      <c r="E191" s="20"/>
      <c r="F191" s="56"/>
      <c r="G191" s="20"/>
      <c r="H191" s="20"/>
      <c r="I191" s="20"/>
      <c r="J191" s="20"/>
      <c r="K191" s="20"/>
      <c r="L191" s="20"/>
      <c r="M191" s="20"/>
      <c r="N191" s="56"/>
      <c r="O191" s="130">
        <f t="shared" si="33"/>
        <v>485918</v>
      </c>
    </row>
    <row r="192" spans="1:15" ht="15">
      <c r="A192" s="55" t="s">
        <v>224</v>
      </c>
      <c r="B192" s="26" t="s">
        <v>128</v>
      </c>
      <c r="C192" s="56">
        <f>783775+35051</f>
        <v>818826</v>
      </c>
      <c r="D192" s="20"/>
      <c r="E192" s="20"/>
      <c r="F192" s="56"/>
      <c r="G192" s="20"/>
      <c r="H192" s="20"/>
      <c r="I192" s="20"/>
      <c r="J192" s="20"/>
      <c r="K192" s="20"/>
      <c r="L192" s="20"/>
      <c r="M192" s="20"/>
      <c r="N192" s="56"/>
      <c r="O192" s="130">
        <f t="shared" si="33"/>
        <v>818826</v>
      </c>
    </row>
    <row r="193" spans="1:15" ht="15">
      <c r="A193" s="55" t="s">
        <v>225</v>
      </c>
      <c r="B193" s="26" t="s">
        <v>147</v>
      </c>
      <c r="C193" s="56">
        <f>402890+15209</f>
        <v>418099</v>
      </c>
      <c r="D193" s="56"/>
      <c r="E193" s="56"/>
      <c r="F193" s="56"/>
      <c r="G193" s="20"/>
      <c r="H193" s="20"/>
      <c r="I193" s="20"/>
      <c r="J193" s="56"/>
      <c r="K193" s="56"/>
      <c r="L193" s="56"/>
      <c r="M193" s="56"/>
      <c r="N193" s="56"/>
      <c r="O193" s="130">
        <f t="shared" si="33"/>
        <v>418099</v>
      </c>
    </row>
    <row r="194" spans="1:15" ht="15">
      <c r="A194" s="55" t="s">
        <v>226</v>
      </c>
      <c r="B194" s="26" t="s">
        <v>148</v>
      </c>
      <c r="C194" s="56"/>
      <c r="D194" s="56"/>
      <c r="E194" s="56"/>
      <c r="F194" s="56"/>
      <c r="G194" s="20"/>
      <c r="H194" s="20"/>
      <c r="I194" s="20"/>
      <c r="J194" s="1">
        <v>369284</v>
      </c>
      <c r="K194" s="56"/>
      <c r="L194" s="56"/>
      <c r="M194" s="56"/>
      <c r="N194" s="56"/>
      <c r="O194" s="130">
        <f t="shared" si="33"/>
        <v>369284</v>
      </c>
    </row>
    <row r="195" spans="1:15" ht="30">
      <c r="A195" s="55" t="s">
        <v>227</v>
      </c>
      <c r="B195" s="26" t="s">
        <v>472</v>
      </c>
      <c r="C195" s="56">
        <f>180000+35000</f>
        <v>215000</v>
      </c>
      <c r="D195" s="56"/>
      <c r="E195" s="56"/>
      <c r="F195" s="56"/>
      <c r="G195" s="20"/>
      <c r="H195" s="20"/>
      <c r="I195" s="20"/>
      <c r="J195" s="56"/>
      <c r="K195" s="56"/>
      <c r="L195" s="56"/>
      <c r="M195" s="56"/>
      <c r="N195" s="98"/>
      <c r="O195" s="130">
        <f>SUM(C195:N195)</f>
        <v>215000</v>
      </c>
    </row>
    <row r="196" spans="1:15" ht="15">
      <c r="A196" s="129" t="s">
        <v>107</v>
      </c>
      <c r="B196" s="94" t="s">
        <v>228</v>
      </c>
      <c r="C196" s="56">
        <f>1126647-81591+327258+12150</f>
        <v>1384464</v>
      </c>
      <c r="D196" s="56"/>
      <c r="E196" s="56"/>
      <c r="F196" s="56"/>
      <c r="G196" s="61"/>
      <c r="H196" s="56"/>
      <c r="I196" s="56"/>
      <c r="J196" s="56"/>
      <c r="K196" s="56"/>
      <c r="L196" s="56"/>
      <c r="M196" s="56"/>
      <c r="N196" s="56"/>
      <c r="O196" s="130">
        <f>SUM(C196:N196)</f>
        <v>1384464</v>
      </c>
    </row>
    <row r="197" spans="1:15" ht="29.25">
      <c r="A197" s="129" t="s">
        <v>151</v>
      </c>
      <c r="B197" s="94" t="s">
        <v>229</v>
      </c>
      <c r="C197" s="97">
        <f>SUM(C198:C207)</f>
        <v>6079749</v>
      </c>
      <c r="D197" s="97">
        <f aca="true" t="shared" si="45" ref="D197:N197">SUM(D198:D207)</f>
        <v>0</v>
      </c>
      <c r="E197" s="97">
        <f t="shared" si="45"/>
        <v>0</v>
      </c>
      <c r="F197" s="97">
        <f t="shared" si="45"/>
        <v>0</v>
      </c>
      <c r="G197" s="97">
        <f t="shared" si="45"/>
        <v>1490128</v>
      </c>
      <c r="H197" s="97">
        <f t="shared" si="45"/>
        <v>0</v>
      </c>
      <c r="I197" s="97">
        <f t="shared" si="45"/>
        <v>444293</v>
      </c>
      <c r="J197" s="97">
        <f t="shared" si="45"/>
        <v>706307</v>
      </c>
      <c r="K197" s="97">
        <f t="shared" si="45"/>
        <v>0</v>
      </c>
      <c r="L197" s="97">
        <f t="shared" si="45"/>
        <v>2080</v>
      </c>
      <c r="M197" s="97">
        <f t="shared" si="45"/>
        <v>23639</v>
      </c>
      <c r="N197" s="97">
        <f t="shared" si="45"/>
        <v>614296</v>
      </c>
      <c r="O197" s="130">
        <f aca="true" t="shared" si="46" ref="O197:O252">SUM(C197:N197)</f>
        <v>9360492</v>
      </c>
    </row>
    <row r="198" spans="1:15" ht="15">
      <c r="A198" s="55" t="s">
        <v>230</v>
      </c>
      <c r="B198" s="26" t="s">
        <v>108</v>
      </c>
      <c r="C198" s="56">
        <f>2108933-87284+670725+15662</f>
        <v>2708036</v>
      </c>
      <c r="D198" s="20"/>
      <c r="E198" s="20"/>
      <c r="F198" s="56"/>
      <c r="G198" s="20"/>
      <c r="H198" s="20"/>
      <c r="I198" s="20"/>
      <c r="J198" s="20"/>
      <c r="K198" s="20"/>
      <c r="L198" s="20"/>
      <c r="M198" s="20"/>
      <c r="N198" s="56"/>
      <c r="O198" s="130">
        <f t="shared" si="46"/>
        <v>2708036</v>
      </c>
    </row>
    <row r="199" spans="1:15" ht="15">
      <c r="A199" s="55" t="s">
        <v>231</v>
      </c>
      <c r="B199" s="26" t="s">
        <v>232</v>
      </c>
      <c r="C199" s="56">
        <f>1074301+9755+301281+14532</f>
        <v>1399869</v>
      </c>
      <c r="D199" s="20"/>
      <c r="E199" s="20"/>
      <c r="F199" s="56"/>
      <c r="G199" s="20"/>
      <c r="H199" s="20"/>
      <c r="I199" s="20"/>
      <c r="J199" s="20"/>
      <c r="K199" s="20"/>
      <c r="L199" s="20"/>
      <c r="M199" s="20"/>
      <c r="N199" s="56"/>
      <c r="O199" s="130">
        <f t="shared" si="46"/>
        <v>1399869</v>
      </c>
    </row>
    <row r="200" spans="1:15" ht="15">
      <c r="A200" s="55" t="s">
        <v>233</v>
      </c>
      <c r="B200" s="26" t="s">
        <v>109</v>
      </c>
      <c r="C200" s="56">
        <f>1096137-37546+296709+19052</f>
        <v>1374352</v>
      </c>
      <c r="D200" s="20"/>
      <c r="E200" s="20"/>
      <c r="F200" s="56"/>
      <c r="G200" s="20"/>
      <c r="H200" s="20"/>
      <c r="I200" s="20"/>
      <c r="J200" s="20"/>
      <c r="K200" s="20"/>
      <c r="L200" s="20"/>
      <c r="M200" s="20"/>
      <c r="N200" s="56"/>
      <c r="O200" s="130">
        <f t="shared" si="46"/>
        <v>1374352</v>
      </c>
    </row>
    <row r="201" spans="1:15" ht="15">
      <c r="A201" s="55" t="s">
        <v>234</v>
      </c>
      <c r="B201" s="26" t="s">
        <v>110</v>
      </c>
      <c r="C201" s="56">
        <f>414116+1659+105541+6136</f>
        <v>527452</v>
      </c>
      <c r="D201" s="20"/>
      <c r="E201" s="20"/>
      <c r="F201" s="56"/>
      <c r="G201" s="20"/>
      <c r="H201" s="20"/>
      <c r="I201" s="20"/>
      <c r="J201" s="20"/>
      <c r="K201" s="20"/>
      <c r="L201" s="20"/>
      <c r="M201" s="20"/>
      <c r="N201" s="56"/>
      <c r="O201" s="130">
        <f t="shared" si="46"/>
        <v>527452</v>
      </c>
    </row>
    <row r="202" spans="1:15" ht="15">
      <c r="A202" s="55" t="s">
        <v>235</v>
      </c>
      <c r="B202" s="26" t="s">
        <v>149</v>
      </c>
      <c r="C202" s="56"/>
      <c r="D202" s="20"/>
      <c r="E202" s="20"/>
      <c r="F202" s="56"/>
      <c r="G202" s="20"/>
      <c r="H202" s="20"/>
      <c r="I202" s="20">
        <v>444293</v>
      </c>
      <c r="J202" s="56"/>
      <c r="K202" s="56"/>
      <c r="L202" s="56"/>
      <c r="M202" s="56"/>
      <c r="N202" s="56"/>
      <c r="O202" s="130">
        <f t="shared" si="46"/>
        <v>444293</v>
      </c>
    </row>
    <row r="203" spans="1:15" ht="15">
      <c r="A203" s="55" t="s">
        <v>236</v>
      </c>
      <c r="B203" s="26" t="s">
        <v>150</v>
      </c>
      <c r="C203" s="56"/>
      <c r="D203" s="20"/>
      <c r="E203" s="20"/>
      <c r="F203" s="56"/>
      <c r="G203" s="20"/>
      <c r="H203" s="20"/>
      <c r="I203" s="20"/>
      <c r="J203" s="20">
        <v>706307</v>
      </c>
      <c r="K203" s="56"/>
      <c r="L203" s="56"/>
      <c r="M203" s="56"/>
      <c r="N203" s="56"/>
      <c r="O203" s="130">
        <f t="shared" si="46"/>
        <v>706307</v>
      </c>
    </row>
    <row r="204" spans="1:15" ht="15">
      <c r="A204" s="55" t="s">
        <v>237</v>
      </c>
      <c r="B204" s="26" t="s">
        <v>266</v>
      </c>
      <c r="C204" s="56"/>
      <c r="D204" s="20"/>
      <c r="E204" s="20"/>
      <c r="F204" s="56"/>
      <c r="G204" s="20"/>
      <c r="H204" s="20"/>
      <c r="I204" s="20"/>
      <c r="J204" s="56"/>
      <c r="K204" s="56"/>
      <c r="L204" s="56">
        <v>2080</v>
      </c>
      <c r="M204" s="20">
        <v>23639</v>
      </c>
      <c r="N204" s="62">
        <v>614296</v>
      </c>
      <c r="O204" s="130">
        <f t="shared" si="46"/>
        <v>640015</v>
      </c>
    </row>
    <row r="205" spans="1:15" ht="15">
      <c r="A205" s="55" t="s">
        <v>238</v>
      </c>
      <c r="B205" s="26" t="s">
        <v>152</v>
      </c>
      <c r="C205" s="56"/>
      <c r="D205" s="20"/>
      <c r="E205" s="20"/>
      <c r="F205" s="56"/>
      <c r="G205" s="61">
        <v>1135516</v>
      </c>
      <c r="H205" s="20"/>
      <c r="I205" s="20"/>
      <c r="J205" s="56"/>
      <c r="K205" s="56"/>
      <c r="L205" s="56"/>
      <c r="M205" s="56"/>
      <c r="N205" s="56"/>
      <c r="O205" s="130">
        <f t="shared" si="46"/>
        <v>1135516</v>
      </c>
    </row>
    <row r="206" spans="1:15" ht="15">
      <c r="A206" s="55" t="s">
        <v>239</v>
      </c>
      <c r="B206" s="26" t="s">
        <v>473</v>
      </c>
      <c r="C206" s="56"/>
      <c r="D206" s="56"/>
      <c r="E206" s="56"/>
      <c r="F206" s="56"/>
      <c r="G206" s="61">
        <v>354612</v>
      </c>
      <c r="H206" s="20"/>
      <c r="I206" s="20"/>
      <c r="J206" s="56"/>
      <c r="K206" s="56"/>
      <c r="L206" s="56"/>
      <c r="M206" s="56"/>
      <c r="N206" s="56"/>
      <c r="O206" s="130">
        <f t="shared" si="46"/>
        <v>354612</v>
      </c>
    </row>
    <row r="207" spans="1:15" ht="31.5" customHeight="1">
      <c r="A207" s="154" t="s">
        <v>538</v>
      </c>
      <c r="B207" s="26" t="s">
        <v>537</v>
      </c>
      <c r="C207" s="56">
        <v>70040</v>
      </c>
      <c r="D207" s="56"/>
      <c r="E207" s="56"/>
      <c r="F207" s="56"/>
      <c r="G207" s="230"/>
      <c r="H207" s="56"/>
      <c r="I207" s="56"/>
      <c r="J207" s="56"/>
      <c r="K207" s="56"/>
      <c r="L207" s="56"/>
      <c r="M207" s="56"/>
      <c r="N207" s="56"/>
      <c r="O207" s="130">
        <f t="shared" si="46"/>
        <v>70040</v>
      </c>
    </row>
    <row r="208" spans="1:15" ht="15" customHeight="1">
      <c r="A208" s="129" t="s">
        <v>111</v>
      </c>
      <c r="B208" s="94" t="s">
        <v>112</v>
      </c>
      <c r="C208" s="97">
        <f>SUM(C209:C214)</f>
        <v>2533229</v>
      </c>
      <c r="D208" s="97">
        <f aca="true" t="shared" si="47" ref="D208:N208">SUM(D209:D214)</f>
        <v>0</v>
      </c>
      <c r="E208" s="97">
        <f t="shared" si="47"/>
        <v>0</v>
      </c>
      <c r="F208" s="97">
        <f t="shared" si="47"/>
        <v>0</v>
      </c>
      <c r="G208" s="97">
        <f t="shared" si="47"/>
        <v>0</v>
      </c>
      <c r="H208" s="97">
        <f t="shared" si="47"/>
        <v>0</v>
      </c>
      <c r="I208" s="97">
        <f t="shared" si="47"/>
        <v>0</v>
      </c>
      <c r="J208" s="97">
        <f t="shared" si="47"/>
        <v>207916</v>
      </c>
      <c r="K208" s="97">
        <f t="shared" si="47"/>
        <v>0</v>
      </c>
      <c r="L208" s="97">
        <f t="shared" si="47"/>
        <v>0</v>
      </c>
      <c r="M208" s="97">
        <f t="shared" si="47"/>
        <v>0</v>
      </c>
      <c r="N208" s="97">
        <f t="shared" si="47"/>
        <v>0</v>
      </c>
      <c r="O208" s="130">
        <f t="shared" si="46"/>
        <v>2741145</v>
      </c>
    </row>
    <row r="209" spans="1:15" ht="15">
      <c r="A209" s="55" t="s">
        <v>240</v>
      </c>
      <c r="B209" s="26" t="s">
        <v>8</v>
      </c>
      <c r="C209" s="56">
        <f>696096+113668+15500+4301</f>
        <v>829565</v>
      </c>
      <c r="D209" s="20"/>
      <c r="E209" s="20"/>
      <c r="F209" s="56"/>
      <c r="G209" s="20"/>
      <c r="H209" s="20"/>
      <c r="I209" s="20"/>
      <c r="J209" s="20"/>
      <c r="K209" s="20"/>
      <c r="L209" s="20"/>
      <c r="M209" s="20"/>
      <c r="N209" s="56"/>
      <c r="O209" s="130">
        <f t="shared" si="46"/>
        <v>829565</v>
      </c>
    </row>
    <row r="210" spans="1:15" ht="15">
      <c r="A210" s="55" t="s">
        <v>241</v>
      </c>
      <c r="B210" s="26" t="s">
        <v>122</v>
      </c>
      <c r="C210" s="56">
        <f>320669+2499</f>
        <v>323168</v>
      </c>
      <c r="D210" s="20"/>
      <c r="E210" s="20"/>
      <c r="F210" s="56"/>
      <c r="G210" s="20"/>
      <c r="H210" s="20"/>
      <c r="I210" s="20"/>
      <c r="J210" s="20"/>
      <c r="K210" s="20"/>
      <c r="L210" s="20"/>
      <c r="M210" s="20"/>
      <c r="N210" s="56"/>
      <c r="O210" s="130">
        <f t="shared" si="46"/>
        <v>323168</v>
      </c>
    </row>
    <row r="211" spans="1:15" ht="15">
      <c r="A211" s="55" t="s">
        <v>242</v>
      </c>
      <c r="B211" s="26" t="s">
        <v>113</v>
      </c>
      <c r="C211" s="56">
        <f>861360-171699-134000-794</f>
        <v>554867</v>
      </c>
      <c r="D211" s="20"/>
      <c r="E211" s="20"/>
      <c r="F211" s="56"/>
      <c r="G211" s="20"/>
      <c r="H211" s="20"/>
      <c r="I211" s="20"/>
      <c r="J211" s="20"/>
      <c r="K211" s="20"/>
      <c r="L211" s="20"/>
      <c r="M211" s="20"/>
      <c r="N211" s="56"/>
      <c r="O211" s="130">
        <f t="shared" si="46"/>
        <v>554867</v>
      </c>
    </row>
    <row r="212" spans="1:15" ht="15">
      <c r="A212" s="55" t="s">
        <v>243</v>
      </c>
      <c r="B212" s="26" t="s">
        <v>114</v>
      </c>
      <c r="C212" s="56">
        <f>498688-146304-39900</f>
        <v>312484</v>
      </c>
      <c r="D212" s="20"/>
      <c r="E212" s="20"/>
      <c r="F212" s="56"/>
      <c r="G212" s="20"/>
      <c r="H212" s="20"/>
      <c r="I212" s="20"/>
      <c r="J212" s="20"/>
      <c r="K212" s="20"/>
      <c r="L212" s="20"/>
      <c r="M212" s="20"/>
      <c r="N212" s="56"/>
      <c r="O212" s="130">
        <f t="shared" si="46"/>
        <v>312484</v>
      </c>
    </row>
    <row r="213" spans="1:15" ht="15">
      <c r="A213" s="55" t="s">
        <v>244</v>
      </c>
      <c r="B213" s="26" t="s">
        <v>153</v>
      </c>
      <c r="C213" s="20"/>
      <c r="D213" s="20"/>
      <c r="E213" s="20"/>
      <c r="F213" s="56"/>
      <c r="G213" s="20"/>
      <c r="H213" s="20"/>
      <c r="I213" s="20"/>
      <c r="J213" s="1">
        <v>207916</v>
      </c>
      <c r="K213" s="20"/>
      <c r="L213" s="20"/>
      <c r="M213" s="20"/>
      <c r="N213" s="56"/>
      <c r="O213" s="130">
        <f t="shared" si="46"/>
        <v>207916</v>
      </c>
    </row>
    <row r="214" spans="1:15" ht="15">
      <c r="A214" s="55" t="s">
        <v>491</v>
      </c>
      <c r="B214" s="26" t="s">
        <v>492</v>
      </c>
      <c r="C214" s="20">
        <f>323557+6136+182658+794</f>
        <v>513145</v>
      </c>
      <c r="D214" s="20"/>
      <c r="E214" s="20"/>
      <c r="F214" s="56"/>
      <c r="G214" s="20"/>
      <c r="H214" s="20"/>
      <c r="I214" s="20"/>
      <c r="J214" s="1"/>
      <c r="K214" s="20"/>
      <c r="L214" s="20"/>
      <c r="M214" s="20"/>
      <c r="N214" s="56"/>
      <c r="O214" s="130">
        <f t="shared" si="46"/>
        <v>513145</v>
      </c>
    </row>
    <row r="215" spans="1:15" ht="15">
      <c r="A215" s="129" t="s">
        <v>154</v>
      </c>
      <c r="B215" s="94" t="s">
        <v>155</v>
      </c>
      <c r="C215" s="36">
        <f>SUM(C216:C218)</f>
        <v>395256</v>
      </c>
      <c r="D215" s="20">
        <f aca="true" t="shared" si="48" ref="D215:M215">SUM(D216:D218)</f>
        <v>0</v>
      </c>
      <c r="E215" s="20">
        <f t="shared" si="48"/>
        <v>0</v>
      </c>
      <c r="F215" s="20">
        <f t="shared" si="48"/>
        <v>0</v>
      </c>
      <c r="G215" s="20">
        <f t="shared" si="48"/>
        <v>96078</v>
      </c>
      <c r="H215" s="20">
        <f t="shared" si="48"/>
        <v>0</v>
      </c>
      <c r="I215" s="20">
        <f t="shared" si="48"/>
        <v>0</v>
      </c>
      <c r="J215" s="20">
        <f t="shared" si="48"/>
        <v>105134</v>
      </c>
      <c r="K215" s="20">
        <f t="shared" si="48"/>
        <v>0</v>
      </c>
      <c r="L215" s="20">
        <f t="shared" si="48"/>
        <v>0</v>
      </c>
      <c r="M215" s="20">
        <f t="shared" si="48"/>
        <v>0</v>
      </c>
      <c r="N215" s="20">
        <f>SUM(N216:N218)</f>
        <v>0</v>
      </c>
      <c r="O215" s="130">
        <f t="shared" si="46"/>
        <v>596468</v>
      </c>
    </row>
    <row r="216" spans="1:15" ht="15">
      <c r="A216" s="55" t="s">
        <v>330</v>
      </c>
      <c r="B216" s="26" t="s">
        <v>326</v>
      </c>
      <c r="C216" s="56">
        <f>50000</f>
        <v>50000</v>
      </c>
      <c r="D216" s="56"/>
      <c r="E216" s="56"/>
      <c r="F216" s="56"/>
      <c r="G216" s="20">
        <f>93538+2540</f>
        <v>96078</v>
      </c>
      <c r="H216" s="20"/>
      <c r="I216" s="20"/>
      <c r="J216" s="56">
        <v>99037</v>
      </c>
      <c r="K216" s="56"/>
      <c r="L216" s="56"/>
      <c r="M216" s="56"/>
      <c r="N216" s="56"/>
      <c r="O216" s="130">
        <f t="shared" si="46"/>
        <v>245115</v>
      </c>
    </row>
    <row r="217" spans="1:15" ht="15">
      <c r="A217" s="154" t="s">
        <v>487</v>
      </c>
      <c r="B217" s="26" t="s">
        <v>488</v>
      </c>
      <c r="C217" s="56">
        <v>240256</v>
      </c>
      <c r="D217" s="56"/>
      <c r="E217" s="56"/>
      <c r="F217" s="56"/>
      <c r="G217" s="20"/>
      <c r="H217" s="20"/>
      <c r="I217" s="20"/>
      <c r="J217" s="56"/>
      <c r="K217" s="56"/>
      <c r="L217" s="56"/>
      <c r="M217" s="56"/>
      <c r="N217" s="56"/>
      <c r="O217" s="130">
        <f t="shared" si="46"/>
        <v>240256</v>
      </c>
    </row>
    <row r="218" spans="1:15" ht="15">
      <c r="A218" s="55" t="s">
        <v>331</v>
      </c>
      <c r="B218" s="26" t="s">
        <v>327</v>
      </c>
      <c r="C218" s="56">
        <v>105000</v>
      </c>
      <c r="D218" s="56"/>
      <c r="E218" s="56"/>
      <c r="F218" s="56"/>
      <c r="G218" s="20"/>
      <c r="H218" s="20"/>
      <c r="I218" s="20"/>
      <c r="J218" s="56">
        <v>6097</v>
      </c>
      <c r="K218" s="56"/>
      <c r="L218" s="56"/>
      <c r="M218" s="56"/>
      <c r="N218" s="56"/>
      <c r="O218" s="130">
        <f t="shared" si="46"/>
        <v>111097</v>
      </c>
    </row>
    <row r="219" spans="1:15" ht="21.75" customHeight="1">
      <c r="A219" s="129" t="s">
        <v>474</v>
      </c>
      <c r="B219" s="94" t="s">
        <v>475</v>
      </c>
      <c r="C219" s="97">
        <f>293138-17770</f>
        <v>275368</v>
      </c>
      <c r="D219" s="97"/>
      <c r="E219" s="97"/>
      <c r="F219" s="97"/>
      <c r="G219" s="36"/>
      <c r="H219" s="36"/>
      <c r="I219" s="36"/>
      <c r="J219" s="97"/>
      <c r="K219" s="97"/>
      <c r="L219" s="97"/>
      <c r="M219" s="97"/>
      <c r="N219" s="97"/>
      <c r="O219" s="130">
        <f t="shared" si="46"/>
        <v>275368</v>
      </c>
    </row>
    <row r="220" spans="1:15" ht="30.75" customHeight="1" thickBot="1">
      <c r="A220" s="175" t="s">
        <v>115</v>
      </c>
      <c r="B220" s="176" t="s">
        <v>245</v>
      </c>
      <c r="C220" s="177">
        <f aca="true" t="shared" si="49" ref="C220:N220">SUM(C221:C248)</f>
        <v>1721665</v>
      </c>
      <c r="D220" s="177">
        <f t="shared" si="49"/>
        <v>0</v>
      </c>
      <c r="E220" s="177">
        <f t="shared" si="49"/>
        <v>0</v>
      </c>
      <c r="F220" s="177">
        <f t="shared" si="49"/>
        <v>0</v>
      </c>
      <c r="G220" s="177">
        <f t="shared" si="49"/>
        <v>28147</v>
      </c>
      <c r="H220" s="177">
        <f t="shared" si="49"/>
        <v>0</v>
      </c>
      <c r="I220" s="177">
        <f t="shared" si="49"/>
        <v>24475</v>
      </c>
      <c r="J220" s="177">
        <f t="shared" si="49"/>
        <v>20693</v>
      </c>
      <c r="K220" s="177">
        <f t="shared" si="49"/>
        <v>33680</v>
      </c>
      <c r="L220" s="177">
        <f t="shared" si="49"/>
        <v>21960</v>
      </c>
      <c r="M220" s="177">
        <f t="shared" si="49"/>
        <v>14647</v>
      </c>
      <c r="N220" s="177">
        <f t="shared" si="49"/>
        <v>18811</v>
      </c>
      <c r="O220" s="178">
        <f>SUM(C220:N220)</f>
        <v>1884078</v>
      </c>
    </row>
    <row r="221" spans="1:15" ht="30.75" customHeight="1">
      <c r="A221" s="148" t="s">
        <v>328</v>
      </c>
      <c r="B221" s="38" t="s">
        <v>329</v>
      </c>
      <c r="C221" s="84">
        <v>91066</v>
      </c>
      <c r="D221" s="147"/>
      <c r="E221" s="147"/>
      <c r="F221" s="147"/>
      <c r="G221" s="173"/>
      <c r="H221" s="173"/>
      <c r="I221" s="173"/>
      <c r="J221" s="147"/>
      <c r="K221" s="147"/>
      <c r="L221" s="147"/>
      <c r="M221" s="147"/>
      <c r="N221" s="179"/>
      <c r="O221" s="130">
        <f t="shared" si="46"/>
        <v>91066</v>
      </c>
    </row>
    <row r="222" spans="1:15" ht="30.75" customHeight="1">
      <c r="A222" s="180" t="s">
        <v>355</v>
      </c>
      <c r="B222" s="181" t="s">
        <v>356</v>
      </c>
      <c r="C222" s="20">
        <f>199681-2611</f>
        <v>197070</v>
      </c>
      <c r="D222" s="36"/>
      <c r="E222" s="36"/>
      <c r="F222" s="36"/>
      <c r="G222" s="36"/>
      <c r="H222" s="36"/>
      <c r="I222" s="36"/>
      <c r="J222" s="36">
        <v>2645</v>
      </c>
      <c r="K222" s="36"/>
      <c r="L222" s="36"/>
      <c r="M222" s="36"/>
      <c r="N222" s="143"/>
      <c r="O222" s="130">
        <f t="shared" si="46"/>
        <v>199715</v>
      </c>
    </row>
    <row r="223" spans="1:15" ht="15.75">
      <c r="A223" s="180" t="s">
        <v>392</v>
      </c>
      <c r="B223" s="182" t="s">
        <v>393</v>
      </c>
      <c r="C223" s="20">
        <v>55622</v>
      </c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143"/>
      <c r="O223" s="130">
        <f t="shared" si="46"/>
        <v>55622</v>
      </c>
    </row>
    <row r="224" spans="1:15" ht="30.75" customHeight="1">
      <c r="A224" s="180" t="s">
        <v>394</v>
      </c>
      <c r="B224" s="182" t="s">
        <v>395</v>
      </c>
      <c r="C224" s="20">
        <v>13041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143"/>
      <c r="O224" s="130">
        <f t="shared" si="46"/>
        <v>13041</v>
      </c>
    </row>
    <row r="225" spans="1:15" ht="30.75" customHeight="1">
      <c r="A225" s="180" t="s">
        <v>396</v>
      </c>
      <c r="B225" s="183" t="s">
        <v>397</v>
      </c>
      <c r="C225" s="20">
        <v>11463</v>
      </c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143"/>
      <c r="O225" s="130">
        <f t="shared" si="46"/>
        <v>11463</v>
      </c>
    </row>
    <row r="226" spans="1:15" ht="30.75" customHeight="1">
      <c r="A226" s="180" t="s">
        <v>398</v>
      </c>
      <c r="B226" s="182" t="s">
        <v>399</v>
      </c>
      <c r="C226" s="84">
        <v>10462</v>
      </c>
      <c r="D226" s="147"/>
      <c r="E226" s="147"/>
      <c r="F226" s="147"/>
      <c r="G226" s="173"/>
      <c r="H226" s="173"/>
      <c r="I226" s="173"/>
      <c r="J226" s="147"/>
      <c r="K226" s="147"/>
      <c r="L226" s="147"/>
      <c r="M226" s="147"/>
      <c r="N226" s="147"/>
      <c r="O226" s="130">
        <f t="shared" si="46"/>
        <v>10462</v>
      </c>
    </row>
    <row r="227" spans="1:15" ht="15">
      <c r="A227" s="148" t="s">
        <v>246</v>
      </c>
      <c r="B227" s="5" t="s">
        <v>476</v>
      </c>
      <c r="C227" s="56"/>
      <c r="D227" s="20"/>
      <c r="E227" s="20"/>
      <c r="F227" s="56"/>
      <c r="G227" s="20">
        <v>28147</v>
      </c>
      <c r="H227" s="20"/>
      <c r="I227" s="20">
        <v>21267</v>
      </c>
      <c r="J227" s="20"/>
      <c r="K227" s="20">
        <v>33680</v>
      </c>
      <c r="L227" s="20">
        <v>21960</v>
      </c>
      <c r="M227" s="20"/>
      <c r="N227" s="56"/>
      <c r="O227" s="130">
        <f t="shared" si="46"/>
        <v>105054</v>
      </c>
    </row>
    <row r="228" spans="1:15" ht="15">
      <c r="A228" s="148" t="s">
        <v>247</v>
      </c>
      <c r="B228" s="244" t="s">
        <v>297</v>
      </c>
      <c r="C228" s="84"/>
      <c r="D228" s="20"/>
      <c r="E228" s="20"/>
      <c r="F228" s="56"/>
      <c r="G228" s="20"/>
      <c r="H228" s="20"/>
      <c r="I228" s="20"/>
      <c r="J228" s="20">
        <v>13550</v>
      </c>
      <c r="K228" s="20"/>
      <c r="L228" s="20"/>
      <c r="M228" s="20">
        <v>14647</v>
      </c>
      <c r="N228" s="62">
        <v>18811</v>
      </c>
      <c r="O228" s="130">
        <f t="shared" si="46"/>
        <v>47008</v>
      </c>
    </row>
    <row r="229" spans="1:15" ht="47.25">
      <c r="A229" s="180" t="s">
        <v>400</v>
      </c>
      <c r="B229" s="184" t="s">
        <v>401</v>
      </c>
      <c r="C229" s="56">
        <v>13738</v>
      </c>
      <c r="D229" s="20"/>
      <c r="E229" s="20"/>
      <c r="F229" s="56"/>
      <c r="G229" s="20"/>
      <c r="H229" s="20"/>
      <c r="I229" s="20"/>
      <c r="J229" s="20"/>
      <c r="K229" s="20"/>
      <c r="L229" s="20"/>
      <c r="M229" s="20"/>
      <c r="N229" s="56"/>
      <c r="O229" s="130">
        <f t="shared" si="46"/>
        <v>13738</v>
      </c>
    </row>
    <row r="230" spans="1:15" ht="47.25">
      <c r="A230" s="180" t="s">
        <v>402</v>
      </c>
      <c r="B230" s="182" t="s">
        <v>403</v>
      </c>
      <c r="C230" s="56">
        <v>8234</v>
      </c>
      <c r="D230" s="20"/>
      <c r="E230" s="20"/>
      <c r="F230" s="56"/>
      <c r="G230" s="20"/>
      <c r="H230" s="20"/>
      <c r="I230" s="20"/>
      <c r="J230" s="20"/>
      <c r="K230" s="20"/>
      <c r="L230" s="20"/>
      <c r="M230" s="20"/>
      <c r="N230" s="56"/>
      <c r="O230" s="130">
        <f t="shared" si="46"/>
        <v>8234</v>
      </c>
    </row>
    <row r="231" spans="1:15" ht="60">
      <c r="A231" s="180" t="s">
        <v>419</v>
      </c>
      <c r="B231" s="153" t="s">
        <v>418</v>
      </c>
      <c r="C231" s="56">
        <v>6201</v>
      </c>
      <c r="D231" s="20"/>
      <c r="E231" s="20"/>
      <c r="F231" s="56"/>
      <c r="G231" s="20"/>
      <c r="H231" s="20"/>
      <c r="I231" s="20"/>
      <c r="J231" s="20"/>
      <c r="K231" s="20"/>
      <c r="L231" s="20"/>
      <c r="M231" s="20"/>
      <c r="N231" s="56"/>
      <c r="O231" s="130">
        <f t="shared" si="46"/>
        <v>6201</v>
      </c>
    </row>
    <row r="232" spans="1:15" ht="30">
      <c r="A232" s="55" t="s">
        <v>284</v>
      </c>
      <c r="B232" s="153" t="s">
        <v>477</v>
      </c>
      <c r="C232" s="56">
        <f>2449147-1400000</f>
        <v>1049147</v>
      </c>
      <c r="D232" s="20"/>
      <c r="E232" s="20"/>
      <c r="F232" s="56"/>
      <c r="G232" s="20"/>
      <c r="H232" s="20"/>
      <c r="I232" s="20"/>
      <c r="J232" s="20"/>
      <c r="K232" s="20"/>
      <c r="L232" s="20"/>
      <c r="M232" s="20"/>
      <c r="N232" s="56"/>
      <c r="O232" s="130">
        <f t="shared" si="46"/>
        <v>1049147</v>
      </c>
    </row>
    <row r="233" spans="1:15" ht="28.5" customHeight="1">
      <c r="A233" s="148" t="s">
        <v>290</v>
      </c>
      <c r="B233" s="185" t="s">
        <v>404</v>
      </c>
      <c r="C233" s="56">
        <v>3049</v>
      </c>
      <c r="D233" s="20"/>
      <c r="E233" s="20"/>
      <c r="F233" s="56"/>
      <c r="G233" s="20"/>
      <c r="H233" s="20"/>
      <c r="I233" s="20"/>
      <c r="J233" s="20"/>
      <c r="K233" s="20"/>
      <c r="L233" s="20"/>
      <c r="M233" s="20"/>
      <c r="N233" s="56"/>
      <c r="O233" s="130">
        <f t="shared" si="46"/>
        <v>3049</v>
      </c>
    </row>
    <row r="234" spans="1:15" ht="30">
      <c r="A234" s="55" t="s">
        <v>337</v>
      </c>
      <c r="B234" s="186" t="s">
        <v>336</v>
      </c>
      <c r="C234" s="56">
        <f>175955-3208</f>
        <v>172747</v>
      </c>
      <c r="D234" s="56"/>
      <c r="E234" s="56"/>
      <c r="F234" s="56"/>
      <c r="G234" s="20"/>
      <c r="H234" s="69"/>
      <c r="I234" s="69">
        <v>3208</v>
      </c>
      <c r="J234" s="69"/>
      <c r="K234" s="69"/>
      <c r="L234" s="69"/>
      <c r="M234" s="69"/>
      <c r="N234" s="73"/>
      <c r="O234" s="130">
        <f t="shared" si="46"/>
        <v>175955</v>
      </c>
    </row>
    <row r="235" spans="1:15" ht="45" customHeight="1">
      <c r="A235" s="55" t="s">
        <v>335</v>
      </c>
      <c r="B235" s="153" t="s">
        <v>334</v>
      </c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98"/>
      <c r="O235" s="130">
        <f t="shared" si="46"/>
        <v>0</v>
      </c>
    </row>
    <row r="236" spans="1:15" ht="30">
      <c r="A236" s="245" t="s">
        <v>339</v>
      </c>
      <c r="B236" s="187" t="s">
        <v>351</v>
      </c>
      <c r="C236" s="20">
        <v>2776</v>
      </c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56"/>
      <c r="O236" s="130">
        <f t="shared" si="46"/>
        <v>2776</v>
      </c>
    </row>
    <row r="237" spans="1:15" ht="45" customHeight="1">
      <c r="A237" s="245" t="s">
        <v>357</v>
      </c>
      <c r="B237" s="181" t="s">
        <v>358</v>
      </c>
      <c r="C237" s="20">
        <v>8070</v>
      </c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56"/>
      <c r="O237" s="130">
        <f t="shared" si="46"/>
        <v>8070</v>
      </c>
    </row>
    <row r="238" spans="1:15" ht="47.25" customHeight="1">
      <c r="A238" s="245" t="s">
        <v>405</v>
      </c>
      <c r="B238" s="182" t="s">
        <v>406</v>
      </c>
      <c r="C238" s="56">
        <v>10250</v>
      </c>
      <c r="D238" s="56"/>
      <c r="E238" s="56"/>
      <c r="F238" s="56"/>
      <c r="G238" s="20"/>
      <c r="H238" s="56"/>
      <c r="I238" s="56"/>
      <c r="J238" s="56"/>
      <c r="K238" s="56"/>
      <c r="L238" s="56"/>
      <c r="M238" s="56"/>
      <c r="N238" s="98"/>
      <c r="O238" s="130">
        <f t="shared" si="46"/>
        <v>10250</v>
      </c>
    </row>
    <row r="239" spans="1:15" ht="47.25" customHeight="1">
      <c r="A239" s="245" t="s">
        <v>499</v>
      </c>
      <c r="B239" s="232" t="s">
        <v>498</v>
      </c>
      <c r="C239" s="20">
        <v>4281</v>
      </c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84"/>
      <c r="O239" s="130">
        <f t="shared" si="46"/>
        <v>4281</v>
      </c>
    </row>
    <row r="240" spans="1:15" ht="47.25" customHeight="1">
      <c r="A240" s="245" t="s">
        <v>501</v>
      </c>
      <c r="B240" s="233" t="s">
        <v>500</v>
      </c>
      <c r="C240" s="20">
        <v>800</v>
      </c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98"/>
      <c r="O240" s="130">
        <f t="shared" si="46"/>
        <v>800</v>
      </c>
    </row>
    <row r="241" spans="1:15" ht="47.25" customHeight="1">
      <c r="A241" s="245" t="s">
        <v>503</v>
      </c>
      <c r="B241" s="233" t="s">
        <v>502</v>
      </c>
      <c r="C241" s="20">
        <v>2600</v>
      </c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84"/>
      <c r="O241" s="130">
        <f t="shared" si="46"/>
        <v>2600</v>
      </c>
    </row>
    <row r="242" spans="1:15" ht="47.25" customHeight="1">
      <c r="A242" s="245" t="s">
        <v>505</v>
      </c>
      <c r="B242" s="233" t="s">
        <v>504</v>
      </c>
      <c r="C242" s="20">
        <v>900</v>
      </c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98"/>
      <c r="O242" s="130">
        <f t="shared" si="46"/>
        <v>900</v>
      </c>
    </row>
    <row r="243" spans="1:15" ht="47.25" customHeight="1">
      <c r="A243" s="245" t="s">
        <v>509</v>
      </c>
      <c r="B243" s="233" t="s">
        <v>508</v>
      </c>
      <c r="C243" s="20">
        <v>1100</v>
      </c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84"/>
      <c r="O243" s="130">
        <f t="shared" si="46"/>
        <v>1100</v>
      </c>
    </row>
    <row r="244" spans="1:15" ht="47.25" customHeight="1">
      <c r="A244" s="245" t="s">
        <v>507</v>
      </c>
      <c r="B244" s="233" t="s">
        <v>506</v>
      </c>
      <c r="C244" s="20">
        <v>1000</v>
      </c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98"/>
      <c r="O244" s="130">
        <f t="shared" si="46"/>
        <v>1000</v>
      </c>
    </row>
    <row r="245" spans="1:15" ht="30">
      <c r="A245" s="245" t="s">
        <v>511</v>
      </c>
      <c r="B245" s="233" t="s">
        <v>510</v>
      </c>
      <c r="C245" s="20">
        <v>800</v>
      </c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84"/>
      <c r="O245" s="130">
        <f t="shared" si="46"/>
        <v>800</v>
      </c>
    </row>
    <row r="246" spans="1:15" ht="47.25" customHeight="1">
      <c r="A246" s="11" t="s">
        <v>513</v>
      </c>
      <c r="B246" s="182" t="s">
        <v>512</v>
      </c>
      <c r="C246" s="20"/>
      <c r="D246" s="20"/>
      <c r="E246" s="20"/>
      <c r="F246" s="20"/>
      <c r="G246" s="20"/>
      <c r="H246" s="20"/>
      <c r="I246" s="20"/>
      <c r="J246" s="20">
        <v>4498</v>
      </c>
      <c r="K246" s="20"/>
      <c r="L246" s="20"/>
      <c r="M246" s="20"/>
      <c r="N246" s="98"/>
      <c r="O246" s="130">
        <f t="shared" si="46"/>
        <v>4498</v>
      </c>
    </row>
    <row r="247" spans="1:15" ht="47.25" customHeight="1">
      <c r="A247" s="11" t="s">
        <v>540</v>
      </c>
      <c r="B247" s="234" t="s">
        <v>539</v>
      </c>
      <c r="C247" s="56">
        <v>1000</v>
      </c>
      <c r="D247" s="56"/>
      <c r="E247" s="56"/>
      <c r="F247" s="56"/>
      <c r="G247" s="20"/>
      <c r="H247" s="56"/>
      <c r="I247" s="56"/>
      <c r="J247" s="56"/>
      <c r="K247" s="56"/>
      <c r="L247" s="56"/>
      <c r="M247" s="56"/>
      <c r="N247" s="98"/>
      <c r="O247" s="130">
        <f t="shared" si="46"/>
        <v>1000</v>
      </c>
    </row>
    <row r="248" spans="1:15" ht="30.75" thickBot="1">
      <c r="A248" s="11" t="s">
        <v>543</v>
      </c>
      <c r="B248" s="29" t="s">
        <v>544</v>
      </c>
      <c r="C248" s="84">
        <v>56248</v>
      </c>
      <c r="D248" s="84"/>
      <c r="E248" s="84"/>
      <c r="F248" s="84"/>
      <c r="G248" s="83"/>
      <c r="H248" s="84"/>
      <c r="I248" s="84"/>
      <c r="J248" s="84"/>
      <c r="K248" s="84"/>
      <c r="L248" s="84"/>
      <c r="M248" s="84"/>
      <c r="N248" s="84"/>
      <c r="O248" s="130">
        <f t="shared" si="46"/>
        <v>56248</v>
      </c>
    </row>
    <row r="249" spans="1:15" ht="15.75" thickBot="1">
      <c r="A249" s="85" t="s">
        <v>7</v>
      </c>
      <c r="B249" s="47" t="s">
        <v>116</v>
      </c>
      <c r="C249" s="49">
        <f>SUM(C250+C251+C252+C253)</f>
        <v>3012808</v>
      </c>
      <c r="D249" s="49">
        <f aca="true" t="shared" si="50" ref="D249:M249">SUM(D250+D251+D252+D253)</f>
        <v>56470</v>
      </c>
      <c r="E249" s="49">
        <f t="shared" si="50"/>
        <v>0</v>
      </c>
      <c r="F249" s="49">
        <f t="shared" si="50"/>
        <v>0</v>
      </c>
      <c r="G249" s="48">
        <f t="shared" si="50"/>
        <v>59214</v>
      </c>
      <c r="H249" s="49">
        <f t="shared" si="50"/>
        <v>20101</v>
      </c>
      <c r="I249" s="49">
        <f t="shared" si="50"/>
        <v>27566</v>
      </c>
      <c r="J249" s="49">
        <f t="shared" si="50"/>
        <v>683874</v>
      </c>
      <c r="K249" s="49">
        <f t="shared" si="50"/>
        <v>32129</v>
      </c>
      <c r="L249" s="49">
        <f t="shared" si="50"/>
        <v>14966</v>
      </c>
      <c r="M249" s="49">
        <f t="shared" si="50"/>
        <v>18250</v>
      </c>
      <c r="N249" s="49">
        <f>SUM(N250+N251+N252+N253)</f>
        <v>32387</v>
      </c>
      <c r="O249" s="50">
        <f t="shared" si="46"/>
        <v>3957765</v>
      </c>
    </row>
    <row r="250" spans="1:15" ht="16.5" customHeight="1">
      <c r="A250" s="129" t="s">
        <v>478</v>
      </c>
      <c r="B250" s="188" t="s">
        <v>175</v>
      </c>
      <c r="C250" s="189">
        <f>171677-198</f>
        <v>171479</v>
      </c>
      <c r="D250" s="37"/>
      <c r="E250" s="37"/>
      <c r="F250" s="189"/>
      <c r="G250" s="37">
        <v>850</v>
      </c>
      <c r="H250" s="37"/>
      <c r="I250" s="37"/>
      <c r="J250" s="37">
        <v>198</v>
      </c>
      <c r="K250" s="37"/>
      <c r="L250" s="37"/>
      <c r="M250" s="37"/>
      <c r="N250" s="179"/>
      <c r="O250" s="127">
        <f t="shared" si="46"/>
        <v>172527</v>
      </c>
    </row>
    <row r="251" spans="1:15" ht="15">
      <c r="A251" s="122" t="s">
        <v>479</v>
      </c>
      <c r="B251" s="123" t="s">
        <v>156</v>
      </c>
      <c r="C251" s="163">
        <v>5956</v>
      </c>
      <c r="D251" s="124"/>
      <c r="E251" s="124"/>
      <c r="F251" s="124"/>
      <c r="G251" s="92"/>
      <c r="H251" s="92"/>
      <c r="I251" s="92"/>
      <c r="J251" s="92"/>
      <c r="K251" s="190">
        <v>2400</v>
      </c>
      <c r="L251" s="190">
        <v>2400</v>
      </c>
      <c r="M251" s="124">
        <v>2400</v>
      </c>
      <c r="N251" s="124"/>
      <c r="O251" s="74">
        <f t="shared" si="46"/>
        <v>13156</v>
      </c>
    </row>
    <row r="252" spans="1:15" ht="15">
      <c r="A252" s="122" t="s">
        <v>117</v>
      </c>
      <c r="B252" s="123" t="s">
        <v>118</v>
      </c>
      <c r="C252" s="124"/>
      <c r="D252" s="53"/>
      <c r="E252" s="53"/>
      <c r="F252" s="27"/>
      <c r="G252" s="53"/>
      <c r="H252" s="53"/>
      <c r="I252" s="53"/>
      <c r="J252" s="53"/>
      <c r="K252" s="53"/>
      <c r="L252" s="53"/>
      <c r="M252" s="53"/>
      <c r="N252" s="27"/>
      <c r="O252" s="130">
        <f t="shared" si="46"/>
        <v>0</v>
      </c>
    </row>
    <row r="253" spans="1:15" ht="29.25">
      <c r="A253" s="129" t="s">
        <v>119</v>
      </c>
      <c r="B253" s="94" t="s">
        <v>120</v>
      </c>
      <c r="C253" s="97">
        <f aca="true" t="shared" si="51" ref="C253:N253">SUM(C254:C264)</f>
        <v>2835373</v>
      </c>
      <c r="D253" s="97">
        <f t="shared" si="51"/>
        <v>56470</v>
      </c>
      <c r="E253" s="97">
        <f t="shared" si="51"/>
        <v>0</v>
      </c>
      <c r="F253" s="97">
        <f t="shared" si="51"/>
        <v>0</v>
      </c>
      <c r="G253" s="36">
        <f t="shared" si="51"/>
        <v>58364</v>
      </c>
      <c r="H253" s="97">
        <f t="shared" si="51"/>
        <v>20101</v>
      </c>
      <c r="I253" s="97">
        <f t="shared" si="51"/>
        <v>27566</v>
      </c>
      <c r="J253" s="97">
        <f t="shared" si="51"/>
        <v>683676</v>
      </c>
      <c r="K253" s="97">
        <f t="shared" si="51"/>
        <v>29729</v>
      </c>
      <c r="L253" s="97">
        <f t="shared" si="51"/>
        <v>12566</v>
      </c>
      <c r="M253" s="97">
        <f t="shared" si="51"/>
        <v>15850</v>
      </c>
      <c r="N253" s="97">
        <f t="shared" si="51"/>
        <v>32387</v>
      </c>
      <c r="O253" s="130">
        <f>SUM(C253:N253)</f>
        <v>3772082</v>
      </c>
    </row>
    <row r="254" spans="1:15" ht="15">
      <c r="A254" s="55" t="s">
        <v>248</v>
      </c>
      <c r="B254" s="26" t="s">
        <v>121</v>
      </c>
      <c r="C254" s="56">
        <f>969100+52295</f>
        <v>1021395</v>
      </c>
      <c r="D254" s="20">
        <v>56470</v>
      </c>
      <c r="E254" s="20"/>
      <c r="F254" s="56"/>
      <c r="G254" s="20">
        <v>500</v>
      </c>
      <c r="H254" s="20"/>
      <c r="I254" s="20">
        <v>400</v>
      </c>
      <c r="J254" s="20">
        <v>2183</v>
      </c>
      <c r="K254" s="20">
        <v>300</v>
      </c>
      <c r="L254" s="20">
        <v>670</v>
      </c>
      <c r="M254" s="20">
        <v>3350</v>
      </c>
      <c r="N254" s="62">
        <v>687</v>
      </c>
      <c r="O254" s="130">
        <f aca="true" t="shared" si="52" ref="O254:O271">SUM(C254:N254)</f>
        <v>1085955</v>
      </c>
    </row>
    <row r="255" spans="1:15" ht="15">
      <c r="A255" s="55" t="s">
        <v>249</v>
      </c>
      <c r="B255" s="26" t="s">
        <v>17</v>
      </c>
      <c r="C255" s="56">
        <f>1026155+51993</f>
        <v>1078148</v>
      </c>
      <c r="D255" s="20"/>
      <c r="E255" s="20"/>
      <c r="F255" s="56"/>
      <c r="G255" s="20">
        <v>57864</v>
      </c>
      <c r="H255" s="20">
        <v>20101</v>
      </c>
      <c r="I255" s="20">
        <v>26616</v>
      </c>
      <c r="J255" s="20">
        <f>75507-15860</f>
        <v>59647</v>
      </c>
      <c r="K255" s="20">
        <v>29429</v>
      </c>
      <c r="L255" s="20">
        <v>11896</v>
      </c>
      <c r="M255" s="20">
        <v>12500</v>
      </c>
      <c r="N255" s="62">
        <v>31700</v>
      </c>
      <c r="O255" s="130">
        <f t="shared" si="52"/>
        <v>1327901</v>
      </c>
    </row>
    <row r="256" spans="1:15" ht="15">
      <c r="A256" s="55" t="s">
        <v>298</v>
      </c>
      <c r="B256" s="26" t="s">
        <v>299</v>
      </c>
      <c r="C256" s="56">
        <v>251348</v>
      </c>
      <c r="D256" s="20"/>
      <c r="E256" s="20"/>
      <c r="F256" s="56"/>
      <c r="G256" s="20"/>
      <c r="H256" s="20"/>
      <c r="I256" s="20"/>
      <c r="J256" s="20"/>
      <c r="K256" s="20"/>
      <c r="L256" s="20"/>
      <c r="M256" s="20"/>
      <c r="N256" s="56"/>
      <c r="O256" s="130">
        <f t="shared" si="52"/>
        <v>251348</v>
      </c>
    </row>
    <row r="257" spans="1:15" ht="15">
      <c r="A257" s="55" t="s">
        <v>250</v>
      </c>
      <c r="B257" s="26" t="s">
        <v>158</v>
      </c>
      <c r="C257" s="56"/>
      <c r="D257" s="20"/>
      <c r="E257" s="20"/>
      <c r="F257" s="56"/>
      <c r="G257" s="20"/>
      <c r="H257" s="20"/>
      <c r="I257" s="20"/>
      <c r="J257" s="20">
        <v>618113</v>
      </c>
      <c r="K257" s="20"/>
      <c r="L257" s="20"/>
      <c r="M257" s="20"/>
      <c r="N257" s="56"/>
      <c r="O257" s="130">
        <f t="shared" si="52"/>
        <v>618113</v>
      </c>
    </row>
    <row r="258" spans="1:15" ht="30">
      <c r="A258" s="55" t="s">
        <v>317</v>
      </c>
      <c r="B258" s="5" t="s">
        <v>318</v>
      </c>
      <c r="C258" s="20">
        <f>15071+25115</f>
        <v>40186</v>
      </c>
      <c r="D258" s="20"/>
      <c r="E258" s="20"/>
      <c r="F258" s="56"/>
      <c r="G258" s="20"/>
      <c r="H258" s="20"/>
      <c r="I258" s="20"/>
      <c r="J258" s="20"/>
      <c r="K258" s="20"/>
      <c r="L258" s="20"/>
      <c r="M258" s="20"/>
      <c r="N258" s="56"/>
      <c r="O258" s="130">
        <f t="shared" si="52"/>
        <v>40186</v>
      </c>
    </row>
    <row r="259" spans="1:15" ht="30">
      <c r="A259" s="11" t="s">
        <v>362</v>
      </c>
      <c r="B259" s="9" t="s">
        <v>363</v>
      </c>
      <c r="C259" s="56">
        <v>555</v>
      </c>
      <c r="D259" s="20"/>
      <c r="E259" s="20"/>
      <c r="F259" s="56"/>
      <c r="G259" s="20"/>
      <c r="H259" s="20"/>
      <c r="I259" s="20"/>
      <c r="J259" s="56"/>
      <c r="K259" s="56"/>
      <c r="L259" s="56"/>
      <c r="M259" s="56"/>
      <c r="N259" s="56"/>
      <c r="O259" s="130">
        <f t="shared" si="52"/>
        <v>555</v>
      </c>
    </row>
    <row r="260" spans="1:15" ht="31.5">
      <c r="A260" s="11" t="s">
        <v>407</v>
      </c>
      <c r="B260" s="19" t="s">
        <v>408</v>
      </c>
      <c r="C260" s="56">
        <f>15000</f>
        <v>15000</v>
      </c>
      <c r="D260" s="20"/>
      <c r="E260" s="20"/>
      <c r="F260" s="56"/>
      <c r="G260" s="20"/>
      <c r="H260" s="20"/>
      <c r="I260" s="20"/>
      <c r="J260" s="56"/>
      <c r="K260" s="56"/>
      <c r="L260" s="56"/>
      <c r="M260" s="56"/>
      <c r="N260" s="56"/>
      <c r="O260" s="130">
        <f t="shared" si="52"/>
        <v>15000</v>
      </c>
    </row>
    <row r="261" spans="1:15" ht="15">
      <c r="A261" s="55" t="s">
        <v>251</v>
      </c>
      <c r="B261" s="26" t="s">
        <v>157</v>
      </c>
      <c r="C261" s="133">
        <f>44579+3300</f>
        <v>47879</v>
      </c>
      <c r="D261" s="20"/>
      <c r="E261" s="20"/>
      <c r="F261" s="56"/>
      <c r="G261" s="20"/>
      <c r="H261" s="20"/>
      <c r="I261" s="20">
        <v>550</v>
      </c>
      <c r="J261" s="56">
        <v>3733</v>
      </c>
      <c r="K261" s="56"/>
      <c r="L261" s="56"/>
      <c r="M261" s="56"/>
      <c r="N261" s="56"/>
      <c r="O261" s="130">
        <f t="shared" si="52"/>
        <v>52162</v>
      </c>
    </row>
    <row r="262" spans="1:15" ht="30">
      <c r="A262" s="11" t="s">
        <v>421</v>
      </c>
      <c r="B262" s="30" t="s">
        <v>420</v>
      </c>
      <c r="C262" s="56">
        <f>113644+11198</f>
        <v>124842</v>
      </c>
      <c r="D262" s="20"/>
      <c r="E262" s="20"/>
      <c r="F262" s="56"/>
      <c r="G262" s="20"/>
      <c r="H262" s="20"/>
      <c r="I262" s="20"/>
      <c r="J262" s="56"/>
      <c r="K262" s="56"/>
      <c r="L262" s="56"/>
      <c r="M262" s="56"/>
      <c r="N262" s="56"/>
      <c r="O262" s="130">
        <f t="shared" si="52"/>
        <v>124842</v>
      </c>
    </row>
    <row r="263" spans="1:15" ht="45">
      <c r="A263" s="55" t="s">
        <v>287</v>
      </c>
      <c r="B263" s="153" t="s">
        <v>480</v>
      </c>
      <c r="C263" s="56">
        <f>40000+10100</f>
        <v>50100</v>
      </c>
      <c r="D263" s="20"/>
      <c r="E263" s="20"/>
      <c r="F263" s="56"/>
      <c r="G263" s="20"/>
      <c r="H263" s="20"/>
      <c r="I263" s="20"/>
      <c r="J263" s="56"/>
      <c r="K263" s="56"/>
      <c r="L263" s="56"/>
      <c r="M263" s="56"/>
      <c r="N263" s="56"/>
      <c r="O263" s="130">
        <f t="shared" si="52"/>
        <v>50100</v>
      </c>
    </row>
    <row r="264" spans="1:15" ht="30.75" thickBot="1">
      <c r="A264" s="13" t="s">
        <v>352</v>
      </c>
      <c r="B264" s="3" t="s">
        <v>353</v>
      </c>
      <c r="C264" s="20">
        <f>268820-62900</f>
        <v>205920</v>
      </c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98"/>
      <c r="O264" s="130">
        <f>SUM(C264:N264)</f>
        <v>205920</v>
      </c>
    </row>
    <row r="265" spans="1:15" ht="15.75" thickBot="1">
      <c r="A265" s="191"/>
      <c r="B265" s="47" t="s">
        <v>19</v>
      </c>
      <c r="C265" s="49">
        <f aca="true" t="shared" si="53" ref="C265:N265">C62+C73+C79+C115+C127+C152+C157+C185+C249</f>
        <v>52331945</v>
      </c>
      <c r="D265" s="49">
        <f t="shared" si="53"/>
        <v>3478156</v>
      </c>
      <c r="E265" s="49">
        <f t="shared" si="53"/>
        <v>1416830</v>
      </c>
      <c r="F265" s="48">
        <f t="shared" si="53"/>
        <v>355239</v>
      </c>
      <c r="G265" s="48">
        <f t="shared" si="53"/>
        <v>2342131</v>
      </c>
      <c r="H265" s="48">
        <f t="shared" si="53"/>
        <v>462008</v>
      </c>
      <c r="I265" s="48">
        <f t="shared" si="53"/>
        <v>1068166</v>
      </c>
      <c r="J265" s="49">
        <f t="shared" si="53"/>
        <v>3081167</v>
      </c>
      <c r="K265" s="49">
        <f t="shared" si="53"/>
        <v>351445</v>
      </c>
      <c r="L265" s="49">
        <f t="shared" si="53"/>
        <v>342953</v>
      </c>
      <c r="M265" s="49">
        <f t="shared" si="53"/>
        <v>356968</v>
      </c>
      <c r="N265" s="49">
        <f t="shared" si="53"/>
        <v>1040371</v>
      </c>
      <c r="O265" s="50">
        <f>SUM(C265:N265)</f>
        <v>66627379</v>
      </c>
    </row>
    <row r="266" spans="1:15" ht="15">
      <c r="A266" s="192" t="s">
        <v>159</v>
      </c>
      <c r="B266" s="82" t="s">
        <v>288</v>
      </c>
      <c r="C266" s="193">
        <f>2580407+1607861</f>
        <v>4188268</v>
      </c>
      <c r="D266" s="193"/>
      <c r="E266" s="193"/>
      <c r="F266" s="194">
        <v>7444</v>
      </c>
      <c r="G266" s="194">
        <v>5080</v>
      </c>
      <c r="H266" s="193">
        <v>8645</v>
      </c>
      <c r="I266" s="193">
        <v>13356</v>
      </c>
      <c r="J266" s="193">
        <v>40004</v>
      </c>
      <c r="K266" s="193"/>
      <c r="L266" s="193">
        <v>5692</v>
      </c>
      <c r="M266" s="193">
        <v>8241</v>
      </c>
      <c r="N266" s="193">
        <v>20061</v>
      </c>
      <c r="O266" s="194">
        <f>SUM(C266:N266)</f>
        <v>4296791</v>
      </c>
    </row>
    <row r="267" spans="1:15" ht="15">
      <c r="A267" s="192" t="s">
        <v>409</v>
      </c>
      <c r="B267" s="82" t="s">
        <v>410</v>
      </c>
      <c r="C267" s="193"/>
      <c r="D267" s="193"/>
      <c r="E267" s="193"/>
      <c r="F267" s="194"/>
      <c r="G267" s="193"/>
      <c r="H267" s="193"/>
      <c r="I267" s="193"/>
      <c r="J267" s="193"/>
      <c r="K267" s="193"/>
      <c r="L267" s="193"/>
      <c r="M267" s="193"/>
      <c r="N267" s="193"/>
      <c r="O267" s="194">
        <f t="shared" si="52"/>
        <v>0</v>
      </c>
    </row>
    <row r="268" spans="1:15" ht="43.5">
      <c r="A268" s="192" t="s">
        <v>411</v>
      </c>
      <c r="B268" s="195" t="s">
        <v>412</v>
      </c>
      <c r="C268" s="193"/>
      <c r="D268" s="193"/>
      <c r="E268" s="193"/>
      <c r="F268" s="194"/>
      <c r="G268" s="193"/>
      <c r="H268" s="193"/>
      <c r="I268" s="193"/>
      <c r="J268" s="193"/>
      <c r="K268" s="193"/>
      <c r="L268" s="193"/>
      <c r="M268" s="193"/>
      <c r="N268" s="193"/>
      <c r="O268" s="194"/>
    </row>
    <row r="269" spans="1:15" ht="15">
      <c r="A269" s="32"/>
      <c r="B269" s="32"/>
      <c r="C269" s="32"/>
      <c r="D269" s="32"/>
      <c r="E269" s="32"/>
      <c r="F269" s="196"/>
      <c r="G269" s="32"/>
      <c r="H269" s="32"/>
      <c r="I269" s="32"/>
      <c r="J269" s="32"/>
      <c r="K269" s="32"/>
      <c r="L269" s="32"/>
      <c r="M269" s="32"/>
      <c r="N269" s="32"/>
      <c r="O269" s="194">
        <f t="shared" si="52"/>
        <v>0</v>
      </c>
    </row>
    <row r="270" spans="1:15" ht="30">
      <c r="A270" s="197" t="s">
        <v>273</v>
      </c>
      <c r="B270" s="198" t="s">
        <v>289</v>
      </c>
      <c r="C270" s="32">
        <v>880000</v>
      </c>
      <c r="D270" s="32">
        <f>1863344-186100</f>
        <v>1677244</v>
      </c>
      <c r="E270" s="32"/>
      <c r="F270" s="196">
        <v>59378</v>
      </c>
      <c r="G270" s="32">
        <f>53103-15638</f>
        <v>37465</v>
      </c>
      <c r="H270" s="32">
        <v>15794</v>
      </c>
      <c r="I270" s="32"/>
      <c r="J270" s="32">
        <v>38672</v>
      </c>
      <c r="K270" s="32"/>
      <c r="L270" s="32">
        <v>67350</v>
      </c>
      <c r="M270" s="32">
        <f>11099-3000</f>
        <v>8099</v>
      </c>
      <c r="N270" s="32">
        <f>33618-13000</f>
        <v>20618</v>
      </c>
      <c r="O270" s="194">
        <f t="shared" si="52"/>
        <v>2804620</v>
      </c>
    </row>
    <row r="271" spans="1:15" ht="30">
      <c r="A271" s="31" t="s">
        <v>252</v>
      </c>
      <c r="B271" s="199" t="s">
        <v>253</v>
      </c>
      <c r="C271" s="194">
        <f>C50-C265-C266-C267-C268-C270</f>
        <v>8582240</v>
      </c>
      <c r="D271" s="194">
        <f aca="true" t="shared" si="54" ref="D271:N271">D50-D265-D266-D267-D270</f>
        <v>-884037</v>
      </c>
      <c r="E271" s="194">
        <f t="shared" si="54"/>
        <v>-1112215</v>
      </c>
      <c r="F271" s="194">
        <f t="shared" si="54"/>
        <v>-92742</v>
      </c>
      <c r="G271" s="194">
        <f t="shared" si="54"/>
        <v>-1926743</v>
      </c>
      <c r="H271" s="194">
        <f t="shared" si="54"/>
        <v>-279280</v>
      </c>
      <c r="I271" s="194">
        <f t="shared" si="54"/>
        <v>-744965</v>
      </c>
      <c r="J271" s="194">
        <f t="shared" si="54"/>
        <v>-1903019</v>
      </c>
      <c r="K271" s="194">
        <f t="shared" si="54"/>
        <v>-201577</v>
      </c>
      <c r="L271" s="194">
        <f t="shared" si="54"/>
        <v>-255524</v>
      </c>
      <c r="M271" s="194">
        <f t="shared" si="54"/>
        <v>-272319</v>
      </c>
      <c r="N271" s="194">
        <f t="shared" si="54"/>
        <v>-909819</v>
      </c>
      <c r="O271" s="194">
        <f t="shared" si="52"/>
        <v>0</v>
      </c>
    </row>
    <row r="272" spans="1:15" ht="15">
      <c r="A272" s="32"/>
      <c r="B272" s="200"/>
      <c r="C272" s="194"/>
      <c r="D272" s="194"/>
      <c r="E272" s="194"/>
      <c r="F272" s="194"/>
      <c r="G272" s="194"/>
      <c r="H272" s="201"/>
      <c r="I272" s="194"/>
      <c r="J272" s="201"/>
      <c r="K272" s="194"/>
      <c r="L272" s="194"/>
      <c r="M272" s="194"/>
      <c r="N272" s="194"/>
      <c r="O272" s="194"/>
    </row>
    <row r="273" spans="1:15" ht="15">
      <c r="A273" s="32"/>
      <c r="B273" s="202" t="s">
        <v>271</v>
      </c>
      <c r="C273" s="32"/>
      <c r="D273" s="32" t="s">
        <v>20</v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203">
        <f>O271-O34</f>
        <v>0</v>
      </c>
    </row>
    <row r="274" spans="1:15" ht="15">
      <c r="A274" s="196"/>
      <c r="B274" s="82"/>
      <c r="C274" s="194"/>
      <c r="D274" s="194"/>
      <c r="E274" s="194"/>
      <c r="F274" s="194"/>
      <c r="G274" s="218"/>
      <c r="H274" s="196"/>
      <c r="I274" s="32"/>
      <c r="J274" s="196"/>
      <c r="K274" s="196"/>
      <c r="L274" s="196"/>
      <c r="M274" s="32"/>
      <c r="N274" s="196"/>
      <c r="O274" s="196"/>
    </row>
    <row r="275" spans="1:15" ht="15">
      <c r="A275" s="196"/>
      <c r="B275" s="82"/>
      <c r="C275" s="194"/>
      <c r="D275" s="194"/>
      <c r="E275" s="194"/>
      <c r="F275" s="194"/>
      <c r="G275" s="218"/>
      <c r="H275" s="196"/>
      <c r="I275" s="32"/>
      <c r="J275" s="196"/>
      <c r="K275" s="196"/>
      <c r="L275" s="196"/>
      <c r="M275" s="32"/>
      <c r="N275" s="196"/>
      <c r="O275" s="196"/>
    </row>
    <row r="276" spans="1:15" ht="15">
      <c r="A276" s="196"/>
      <c r="B276" s="82"/>
      <c r="C276" s="194"/>
      <c r="D276" s="194"/>
      <c r="E276" s="194"/>
      <c r="F276" s="194"/>
      <c r="G276" s="218"/>
      <c r="H276" s="196"/>
      <c r="I276" s="32"/>
      <c r="J276" s="196"/>
      <c r="K276" s="196"/>
      <c r="L276" s="196"/>
      <c r="M276" s="32"/>
      <c r="N276" s="196"/>
      <c r="O276" s="196"/>
    </row>
    <row r="277" spans="1:15" ht="15">
      <c r="A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193"/>
    </row>
    <row r="278" spans="1:15" ht="44.25" customHeight="1" thickBot="1">
      <c r="A278" s="249" t="s">
        <v>483</v>
      </c>
      <c r="B278" s="249"/>
      <c r="C278" s="249"/>
      <c r="D278" s="249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193"/>
    </row>
    <row r="279" spans="1:15" ht="90.75" thickBot="1">
      <c r="A279" s="115" t="s">
        <v>9</v>
      </c>
      <c r="B279" s="116" t="s">
        <v>129</v>
      </c>
      <c r="C279" s="43" t="s">
        <v>423</v>
      </c>
      <c r="D279" s="117" t="s">
        <v>424</v>
      </c>
      <c r="E279" s="43" t="s">
        <v>425</v>
      </c>
      <c r="F279" s="43" t="s">
        <v>426</v>
      </c>
      <c r="G279" s="118" t="s">
        <v>427</v>
      </c>
      <c r="H279" s="118" t="s">
        <v>428</v>
      </c>
      <c r="I279" s="118" t="s">
        <v>429</v>
      </c>
      <c r="J279" s="118" t="s">
        <v>430</v>
      </c>
      <c r="K279" s="118" t="s">
        <v>431</v>
      </c>
      <c r="L279" s="118" t="s">
        <v>432</v>
      </c>
      <c r="M279" s="118" t="s">
        <v>433</v>
      </c>
      <c r="N279" s="119" t="s">
        <v>434</v>
      </c>
      <c r="O279" s="120" t="s">
        <v>435</v>
      </c>
    </row>
    <row r="280" spans="1:15" ht="15">
      <c r="A280" s="219">
        <v>1100</v>
      </c>
      <c r="B280" s="87" t="s">
        <v>174</v>
      </c>
      <c r="C280" s="28">
        <f>11875045+1702153+1</f>
        <v>13577199</v>
      </c>
      <c r="D280" s="28">
        <v>963311</v>
      </c>
      <c r="E280" s="28">
        <v>640550</v>
      </c>
      <c r="F280" s="28">
        <v>71528</v>
      </c>
      <c r="G280" s="220">
        <v>1199096</v>
      </c>
      <c r="H280" s="28">
        <v>148295</v>
      </c>
      <c r="I280" s="28">
        <v>426103</v>
      </c>
      <c r="J280" s="28">
        <v>1465118</v>
      </c>
      <c r="K280" s="28">
        <v>101400</v>
      </c>
      <c r="L280" s="28">
        <v>147268</v>
      </c>
      <c r="M280" s="28">
        <v>140688</v>
      </c>
      <c r="N280" s="221">
        <v>604186</v>
      </c>
      <c r="O280" s="160">
        <f aca="true" t="shared" si="55" ref="O280:O302">SUM(C280:N280)</f>
        <v>19484742</v>
      </c>
    </row>
    <row r="281" spans="1:15" ht="45">
      <c r="A281" s="93">
        <v>1200</v>
      </c>
      <c r="B281" s="26" t="s">
        <v>254</v>
      </c>
      <c r="C281" s="20">
        <f>3532020+430071-1</f>
        <v>3962090</v>
      </c>
      <c r="D281" s="20">
        <v>232064</v>
      </c>
      <c r="E281" s="20">
        <v>188794</v>
      </c>
      <c r="F281" s="20">
        <v>21532</v>
      </c>
      <c r="G281" s="99">
        <v>433827</v>
      </c>
      <c r="H281" s="20">
        <v>44040</v>
      </c>
      <c r="I281" s="20">
        <v>128200</v>
      </c>
      <c r="J281" s="20">
        <v>450442</v>
      </c>
      <c r="K281" s="20">
        <v>30426</v>
      </c>
      <c r="L281" s="20">
        <v>44162</v>
      </c>
      <c r="M281" s="20">
        <v>40303</v>
      </c>
      <c r="N281" s="62">
        <v>179628</v>
      </c>
      <c r="O281" s="130">
        <f>SUM(C281:N281)</f>
        <v>5755508</v>
      </c>
    </row>
    <row r="282" spans="1:15" ht="15">
      <c r="A282" s="93">
        <v>2000</v>
      </c>
      <c r="B282" s="26" t="s">
        <v>160</v>
      </c>
      <c r="C282" s="20">
        <f aca="true" t="shared" si="56" ref="C282:N282">SUM(C283:C288)</f>
        <v>7207293</v>
      </c>
      <c r="D282" s="20">
        <f t="shared" si="56"/>
        <v>1604359</v>
      </c>
      <c r="E282" s="20">
        <f t="shared" si="56"/>
        <v>493549</v>
      </c>
      <c r="F282" s="20">
        <f t="shared" si="56"/>
        <v>231902</v>
      </c>
      <c r="G282" s="58">
        <f t="shared" si="56"/>
        <v>585990</v>
      </c>
      <c r="H282" s="20">
        <f t="shared" si="56"/>
        <v>234898</v>
      </c>
      <c r="I282" s="20">
        <f t="shared" si="56"/>
        <v>374183</v>
      </c>
      <c r="J282" s="20">
        <f t="shared" si="56"/>
        <v>864762</v>
      </c>
      <c r="K282" s="20">
        <f t="shared" si="56"/>
        <v>179629</v>
      </c>
      <c r="L282" s="20">
        <f t="shared" si="56"/>
        <v>108969</v>
      </c>
      <c r="M282" s="20">
        <f t="shared" si="56"/>
        <v>143579</v>
      </c>
      <c r="N282" s="62">
        <f t="shared" si="56"/>
        <v>189497</v>
      </c>
      <c r="O282" s="130">
        <f>SUM(C282:N282)</f>
        <v>12218610</v>
      </c>
    </row>
    <row r="283" spans="1:15" ht="30">
      <c r="A283" s="93">
        <v>2100</v>
      </c>
      <c r="B283" s="26" t="s">
        <v>285</v>
      </c>
      <c r="C283" s="20">
        <f>83406+586</f>
        <v>83992</v>
      </c>
      <c r="D283" s="20">
        <v>2500</v>
      </c>
      <c r="E283" s="20">
        <v>157</v>
      </c>
      <c r="F283" s="20"/>
      <c r="G283" s="58">
        <v>600</v>
      </c>
      <c r="H283" s="20">
        <v>50</v>
      </c>
      <c r="I283" s="20">
        <v>70</v>
      </c>
      <c r="J283" s="20">
        <v>4184</v>
      </c>
      <c r="K283" s="20"/>
      <c r="L283" s="20">
        <v>145</v>
      </c>
      <c r="M283" s="1">
        <v>600</v>
      </c>
      <c r="N283" s="62">
        <v>166</v>
      </c>
      <c r="O283" s="130">
        <f t="shared" si="55"/>
        <v>92464</v>
      </c>
    </row>
    <row r="284" spans="1:15" ht="15">
      <c r="A284" s="93">
        <v>2200</v>
      </c>
      <c r="B284" s="26" t="s">
        <v>161</v>
      </c>
      <c r="C284" s="20">
        <f>6163082-606683-1</f>
        <v>5556398</v>
      </c>
      <c r="D284" s="20">
        <v>1123220</v>
      </c>
      <c r="E284" s="20">
        <v>375165</v>
      </c>
      <c r="F284" s="20">
        <v>210875</v>
      </c>
      <c r="G284" s="58">
        <v>330496</v>
      </c>
      <c r="H284" s="1">
        <v>180669</v>
      </c>
      <c r="I284" s="20">
        <v>264091</v>
      </c>
      <c r="J284" s="1">
        <v>518441</v>
      </c>
      <c r="K284" s="20">
        <v>139985</v>
      </c>
      <c r="L284" s="20">
        <v>75137</v>
      </c>
      <c r="M284" s="1">
        <v>115629</v>
      </c>
      <c r="N284" s="62">
        <v>88702</v>
      </c>
      <c r="O284" s="130">
        <f t="shared" si="55"/>
        <v>8978808</v>
      </c>
    </row>
    <row r="285" spans="1:15" ht="30">
      <c r="A285" s="93">
        <v>2300</v>
      </c>
      <c r="B285" s="26" t="s">
        <v>162</v>
      </c>
      <c r="C285" s="20">
        <f>1355383+145765</f>
        <v>1501148</v>
      </c>
      <c r="D285" s="20">
        <v>210331</v>
      </c>
      <c r="E285" s="20">
        <v>112227</v>
      </c>
      <c r="F285" s="20">
        <v>9863</v>
      </c>
      <c r="G285" s="58">
        <v>252694</v>
      </c>
      <c r="H285" s="1">
        <v>48101</v>
      </c>
      <c r="I285" s="20">
        <v>105262</v>
      </c>
      <c r="J285" s="1">
        <v>327258</v>
      </c>
      <c r="K285" s="20">
        <v>36670</v>
      </c>
      <c r="L285" s="20">
        <v>30442</v>
      </c>
      <c r="M285" s="1">
        <v>26050</v>
      </c>
      <c r="N285" s="62">
        <f>97877-133</f>
        <v>97744</v>
      </c>
      <c r="O285" s="130">
        <f>SUM(C285:N285)</f>
        <v>2757790</v>
      </c>
    </row>
    <row r="286" spans="1:15" ht="15">
      <c r="A286" s="93">
        <v>2400</v>
      </c>
      <c r="B286" s="26" t="s">
        <v>163</v>
      </c>
      <c r="C286" s="20">
        <v>5720</v>
      </c>
      <c r="D286" s="20"/>
      <c r="E286" s="20"/>
      <c r="F286" s="20">
        <v>0</v>
      </c>
      <c r="G286" s="58">
        <v>1900</v>
      </c>
      <c r="H286" s="20">
        <v>900</v>
      </c>
      <c r="I286" s="20">
        <v>500</v>
      </c>
      <c r="J286" s="20">
        <v>1500</v>
      </c>
      <c r="K286" s="20">
        <v>1280</v>
      </c>
      <c r="L286" s="20">
        <v>745</v>
      </c>
      <c r="M286" s="20">
        <v>800</v>
      </c>
      <c r="N286" s="62">
        <v>1728</v>
      </c>
      <c r="O286" s="130">
        <f t="shared" si="55"/>
        <v>15073</v>
      </c>
    </row>
    <row r="287" spans="1:15" ht="15">
      <c r="A287" s="93">
        <v>2500</v>
      </c>
      <c r="B287" s="26" t="s">
        <v>164</v>
      </c>
      <c r="C287" s="20">
        <f>48600+11435</f>
        <v>60035</v>
      </c>
      <c r="D287" s="20">
        <v>268308</v>
      </c>
      <c r="E287" s="20">
        <v>6000</v>
      </c>
      <c r="F287" s="20">
        <v>11164</v>
      </c>
      <c r="G287" s="58">
        <v>300</v>
      </c>
      <c r="H287" s="20">
        <v>5178</v>
      </c>
      <c r="I287" s="20">
        <v>4260</v>
      </c>
      <c r="J287" s="20">
        <v>13379</v>
      </c>
      <c r="K287" s="20">
        <v>1694</v>
      </c>
      <c r="L287" s="20">
        <v>2500</v>
      </c>
      <c r="M287" s="20">
        <v>500</v>
      </c>
      <c r="N287" s="62">
        <v>1157</v>
      </c>
      <c r="O287" s="130">
        <f t="shared" si="55"/>
        <v>374475</v>
      </c>
    </row>
    <row r="288" spans="1:15" ht="45">
      <c r="A288" s="93">
        <v>2800</v>
      </c>
      <c r="B288" s="26" t="s">
        <v>255</v>
      </c>
      <c r="C288" s="20"/>
      <c r="D288" s="20"/>
      <c r="E288" s="20"/>
      <c r="F288" s="20"/>
      <c r="G288" s="58">
        <v>0</v>
      </c>
      <c r="H288" s="20"/>
      <c r="I288" s="20"/>
      <c r="J288" s="20"/>
      <c r="K288" s="20"/>
      <c r="L288" s="20"/>
      <c r="M288" s="20"/>
      <c r="N288" s="62"/>
      <c r="O288" s="130">
        <f t="shared" si="55"/>
        <v>0</v>
      </c>
    </row>
    <row r="289" spans="1:15" ht="30">
      <c r="A289" s="93">
        <v>3200</v>
      </c>
      <c r="B289" s="26" t="s">
        <v>256</v>
      </c>
      <c r="C289" s="20">
        <f>1959193+180666</f>
        <v>2139859</v>
      </c>
      <c r="D289" s="20"/>
      <c r="E289" s="20"/>
      <c r="F289" s="20"/>
      <c r="G289" s="58">
        <v>0</v>
      </c>
      <c r="H289" s="20"/>
      <c r="I289" s="20"/>
      <c r="J289" s="20"/>
      <c r="K289" s="20"/>
      <c r="L289" s="20"/>
      <c r="M289" s="20"/>
      <c r="N289" s="62"/>
      <c r="O289" s="130">
        <f t="shared" si="55"/>
        <v>2139859</v>
      </c>
    </row>
    <row r="290" spans="1:15" ht="15">
      <c r="A290" s="93">
        <v>4200</v>
      </c>
      <c r="B290" s="26" t="s">
        <v>484</v>
      </c>
      <c r="C290" s="20"/>
      <c r="D290" s="20"/>
      <c r="E290" s="20"/>
      <c r="F290" s="20"/>
      <c r="G290" s="58">
        <v>0</v>
      </c>
      <c r="H290" s="20"/>
      <c r="I290" s="20"/>
      <c r="J290" s="20"/>
      <c r="K290" s="20"/>
      <c r="L290" s="20"/>
      <c r="M290" s="20"/>
      <c r="N290" s="62"/>
      <c r="O290" s="130">
        <f t="shared" si="55"/>
        <v>0</v>
      </c>
    </row>
    <row r="291" spans="1:15" ht="15">
      <c r="A291" s="93">
        <v>4300</v>
      </c>
      <c r="B291" s="26" t="s">
        <v>165</v>
      </c>
      <c r="C291" s="20">
        <v>38431</v>
      </c>
      <c r="D291" s="20"/>
      <c r="E291" s="20"/>
      <c r="F291" s="20">
        <v>100</v>
      </c>
      <c r="G291" s="58">
        <v>0</v>
      </c>
      <c r="H291" s="20"/>
      <c r="I291" s="20"/>
      <c r="J291" s="20"/>
      <c r="K291" s="20"/>
      <c r="L291" s="20"/>
      <c r="M291" s="20"/>
      <c r="N291" s="62"/>
      <c r="O291" s="130">
        <f t="shared" si="55"/>
        <v>38531</v>
      </c>
    </row>
    <row r="292" spans="1:15" ht="15">
      <c r="A292" s="93">
        <v>5100</v>
      </c>
      <c r="B292" s="26" t="s">
        <v>123</v>
      </c>
      <c r="C292" s="20">
        <f>72743+11779</f>
        <v>84522</v>
      </c>
      <c r="D292" s="20"/>
      <c r="E292" s="20">
        <v>486</v>
      </c>
      <c r="F292" s="20"/>
      <c r="G292" s="58">
        <v>150</v>
      </c>
      <c r="H292" s="20">
        <v>950</v>
      </c>
      <c r="I292" s="20">
        <v>245</v>
      </c>
      <c r="J292" s="20"/>
      <c r="K292" s="20"/>
      <c r="L292" s="20">
        <v>235</v>
      </c>
      <c r="M292" s="20"/>
      <c r="N292" s="62"/>
      <c r="O292" s="130">
        <f t="shared" si="55"/>
        <v>86588</v>
      </c>
    </row>
    <row r="293" spans="1:15" ht="15">
      <c r="A293" s="93">
        <v>5200</v>
      </c>
      <c r="B293" s="26" t="s">
        <v>166</v>
      </c>
      <c r="C293" s="20">
        <f>22692006+263018+1</f>
        <v>22955025</v>
      </c>
      <c r="D293" s="20">
        <v>678422</v>
      </c>
      <c r="E293" s="20">
        <v>93451</v>
      </c>
      <c r="F293" s="20">
        <v>30177</v>
      </c>
      <c r="G293" s="58">
        <v>64754</v>
      </c>
      <c r="H293" s="20">
        <v>13624</v>
      </c>
      <c r="I293" s="20">
        <v>112649</v>
      </c>
      <c r="J293" s="20">
        <v>240242</v>
      </c>
      <c r="K293" s="20">
        <v>8161</v>
      </c>
      <c r="L293" s="20">
        <v>28023</v>
      </c>
      <c r="M293" s="20">
        <v>17498</v>
      </c>
      <c r="N293" s="62">
        <v>35240</v>
      </c>
      <c r="O293" s="130">
        <f t="shared" si="55"/>
        <v>24277266</v>
      </c>
    </row>
    <row r="294" spans="1:15" ht="15">
      <c r="A294" s="93">
        <v>6200</v>
      </c>
      <c r="B294" s="26" t="s">
        <v>167</v>
      </c>
      <c r="C294" s="20">
        <f>350828+51493</f>
        <v>402321</v>
      </c>
      <c r="D294" s="20"/>
      <c r="E294" s="20"/>
      <c r="F294" s="20"/>
      <c r="G294" s="58">
        <v>41934</v>
      </c>
      <c r="H294" s="20">
        <f>18265-2400</f>
        <v>15865</v>
      </c>
      <c r="I294" s="20">
        <f>24371-2400</f>
        <v>21971</v>
      </c>
      <c r="J294" s="20">
        <v>29578</v>
      </c>
      <c r="K294" s="20">
        <f>24269+2400</f>
        <v>26669</v>
      </c>
      <c r="L294" s="20">
        <v>14296</v>
      </c>
      <c r="M294" s="20">
        <v>14900</v>
      </c>
      <c r="N294" s="62">
        <v>24700</v>
      </c>
      <c r="O294" s="130">
        <f t="shared" si="55"/>
        <v>592234</v>
      </c>
    </row>
    <row r="295" spans="1:15" ht="15">
      <c r="A295" s="93">
        <v>6300</v>
      </c>
      <c r="B295" s="26" t="s">
        <v>168</v>
      </c>
      <c r="C295" s="20">
        <f>229000-24500</f>
        <v>204500</v>
      </c>
      <c r="D295" s="20"/>
      <c r="E295" s="20"/>
      <c r="F295" s="20"/>
      <c r="G295" s="58">
        <v>7605</v>
      </c>
      <c r="H295" s="20">
        <v>3761</v>
      </c>
      <c r="I295" s="20">
        <v>3720</v>
      </c>
      <c r="J295" s="20">
        <v>11800</v>
      </c>
      <c r="K295" s="20">
        <v>280</v>
      </c>
      <c r="L295" s="20"/>
      <c r="M295" s="20"/>
      <c r="N295" s="62">
        <v>4500</v>
      </c>
      <c r="O295" s="130">
        <f t="shared" si="55"/>
        <v>236166</v>
      </c>
    </row>
    <row r="296" spans="1:15" ht="30">
      <c r="A296" s="93">
        <v>6400</v>
      </c>
      <c r="B296" s="26" t="s">
        <v>257</v>
      </c>
      <c r="C296" s="20">
        <f>729597+32106</f>
        <v>761703</v>
      </c>
      <c r="D296" s="20"/>
      <c r="E296" s="20"/>
      <c r="F296" s="20"/>
      <c r="G296" s="58">
        <v>8775</v>
      </c>
      <c r="H296" s="20">
        <v>575</v>
      </c>
      <c r="I296" s="20">
        <v>1095</v>
      </c>
      <c r="J296" s="20">
        <v>19225</v>
      </c>
      <c r="K296" s="20">
        <v>4880</v>
      </c>
      <c r="L296" s="20"/>
      <c r="M296" s="20"/>
      <c r="N296" s="62">
        <v>2620</v>
      </c>
      <c r="O296" s="130">
        <f t="shared" si="55"/>
        <v>798873</v>
      </c>
    </row>
    <row r="297" spans="1:15" ht="30">
      <c r="A297" s="93">
        <v>6500</v>
      </c>
      <c r="B297" s="26" t="s">
        <v>286</v>
      </c>
      <c r="C297" s="20">
        <v>1595</v>
      </c>
      <c r="D297" s="20"/>
      <c r="E297" s="20"/>
      <c r="F297" s="20"/>
      <c r="G297" s="58"/>
      <c r="H297" s="20"/>
      <c r="I297" s="20"/>
      <c r="J297" s="20"/>
      <c r="K297" s="20"/>
      <c r="L297" s="20"/>
      <c r="M297" s="20"/>
      <c r="N297" s="62"/>
      <c r="O297" s="130">
        <f t="shared" si="55"/>
        <v>1595</v>
      </c>
    </row>
    <row r="298" spans="1:15" ht="15">
      <c r="A298" s="93">
        <v>7200</v>
      </c>
      <c r="B298" s="26" t="s">
        <v>258</v>
      </c>
      <c r="C298" s="20">
        <f>900506+87101</f>
        <v>987607</v>
      </c>
      <c r="D298" s="20"/>
      <c r="E298" s="20"/>
      <c r="F298" s="20"/>
      <c r="G298" s="58"/>
      <c r="H298" s="20"/>
      <c r="I298" s="20"/>
      <c r="J298" s="20"/>
      <c r="K298" s="20"/>
      <c r="L298" s="20"/>
      <c r="M298" s="20"/>
      <c r="N298" s="62"/>
      <c r="O298" s="130">
        <f>SUM(C298:N298)</f>
        <v>987607</v>
      </c>
    </row>
    <row r="299" spans="1:15" ht="15">
      <c r="A299" s="93">
        <v>7700</v>
      </c>
      <c r="B299" s="26" t="s">
        <v>485</v>
      </c>
      <c r="C299" s="20"/>
      <c r="D299" s="20"/>
      <c r="E299" s="20"/>
      <c r="F299" s="20"/>
      <c r="G299" s="58"/>
      <c r="H299" s="20"/>
      <c r="I299" s="20"/>
      <c r="J299" s="20"/>
      <c r="K299" s="20"/>
      <c r="L299" s="20"/>
      <c r="M299" s="20"/>
      <c r="N299" s="60"/>
      <c r="O299" s="130">
        <f>SUM(C299:N299)</f>
        <v>0</v>
      </c>
    </row>
    <row r="300" spans="1:15" ht="15">
      <c r="A300" s="93">
        <v>8100</v>
      </c>
      <c r="B300" s="20" t="s">
        <v>300</v>
      </c>
      <c r="C300" s="20"/>
      <c r="D300" s="20"/>
      <c r="E300" s="20"/>
      <c r="F300" s="20"/>
      <c r="G300" s="58"/>
      <c r="H300" s="20"/>
      <c r="I300" s="20"/>
      <c r="J300" s="20"/>
      <c r="K300" s="20"/>
      <c r="L300" s="20"/>
      <c r="M300" s="20"/>
      <c r="N300" s="58"/>
      <c r="O300" s="130">
        <f t="shared" si="55"/>
        <v>0</v>
      </c>
    </row>
    <row r="301" spans="1:15" ht="45">
      <c r="A301" s="93">
        <v>8900</v>
      </c>
      <c r="B301" s="71" t="s">
        <v>486</v>
      </c>
      <c r="C301" s="73"/>
      <c r="D301" s="73"/>
      <c r="E301" s="73"/>
      <c r="F301" s="73"/>
      <c r="G301" s="20"/>
      <c r="H301" s="73"/>
      <c r="I301" s="73"/>
      <c r="J301" s="73"/>
      <c r="K301" s="73"/>
      <c r="L301" s="73"/>
      <c r="M301" s="20"/>
      <c r="N301" s="67"/>
      <c r="O301" s="130">
        <f t="shared" si="55"/>
        <v>0</v>
      </c>
    </row>
    <row r="302" spans="1:15" ht="15.75" thickBot="1">
      <c r="A302" s="81">
        <v>9000</v>
      </c>
      <c r="B302" s="222" t="s">
        <v>413</v>
      </c>
      <c r="C302" s="88">
        <v>9800</v>
      </c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90"/>
      <c r="O302" s="130">
        <f t="shared" si="55"/>
        <v>9800</v>
      </c>
    </row>
    <row r="303" spans="1:15" ht="15.75" thickBot="1">
      <c r="A303" s="191"/>
      <c r="B303" s="223" t="s">
        <v>169</v>
      </c>
      <c r="C303" s="224">
        <f>SUM(C280:C282,C289:C302)</f>
        <v>52331945</v>
      </c>
      <c r="D303" s="224">
        <f aca="true" t="shared" si="57" ref="D303:N303">SUM(D280:D282,D289:D302)</f>
        <v>3478156</v>
      </c>
      <c r="E303" s="224">
        <f t="shared" si="57"/>
        <v>1416830</v>
      </c>
      <c r="F303" s="224">
        <f t="shared" si="57"/>
        <v>355239</v>
      </c>
      <c r="G303" s="224">
        <f t="shared" si="57"/>
        <v>2342131</v>
      </c>
      <c r="H303" s="224">
        <f t="shared" si="57"/>
        <v>462008</v>
      </c>
      <c r="I303" s="224">
        <f t="shared" si="57"/>
        <v>1068166</v>
      </c>
      <c r="J303" s="224">
        <f t="shared" si="57"/>
        <v>3081167</v>
      </c>
      <c r="K303" s="224">
        <f t="shared" si="57"/>
        <v>351445</v>
      </c>
      <c r="L303" s="224">
        <f t="shared" si="57"/>
        <v>342953</v>
      </c>
      <c r="M303" s="224">
        <f t="shared" si="57"/>
        <v>356968</v>
      </c>
      <c r="N303" s="224">
        <f t="shared" si="57"/>
        <v>1040371</v>
      </c>
      <c r="O303" s="50">
        <f>SUM(C303:N303)</f>
        <v>66627379</v>
      </c>
    </row>
    <row r="304" spans="2:6" ht="15">
      <c r="B304" s="225"/>
      <c r="C304" s="209"/>
      <c r="D304" s="196"/>
      <c r="E304" s="32"/>
      <c r="F304" s="32"/>
    </row>
    <row r="305" spans="2:15" ht="15">
      <c r="B305" s="225"/>
      <c r="C305" s="209"/>
      <c r="D305" s="196"/>
      <c r="E305" s="32"/>
      <c r="F305" s="32"/>
      <c r="O305" s="193"/>
    </row>
    <row r="306" spans="2:6" ht="15">
      <c r="B306" s="226" t="s">
        <v>271</v>
      </c>
      <c r="C306" s="209"/>
      <c r="D306" s="196"/>
      <c r="E306" s="32" t="s">
        <v>20</v>
      </c>
      <c r="F306" s="32"/>
    </row>
    <row r="311" ht="15">
      <c r="B311" s="226"/>
    </row>
  </sheetData>
  <sheetProtection/>
  <mergeCells count="3">
    <mergeCell ref="A5:D5"/>
    <mergeCell ref="A60:D60"/>
    <mergeCell ref="A278:D278"/>
  </mergeCells>
  <printOptions/>
  <pageMargins left="0.4330708661417323" right="0.35433070866141736" top="0.7874015748031497" bottom="0.5905511811023623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Ingūna Šubrovska</cp:lastModifiedBy>
  <cp:lastPrinted>2020-10-16T08:15:55Z</cp:lastPrinted>
  <dcterms:created xsi:type="dcterms:W3CDTF">2006-04-20T10:34:24Z</dcterms:created>
  <dcterms:modified xsi:type="dcterms:W3CDTF">2020-10-16T12:46:06Z</dcterms:modified>
  <cp:category/>
  <cp:version/>
  <cp:contentType/>
  <cp:contentStatus/>
</cp:coreProperties>
</file>