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6855" activeTab="4"/>
  </bookViews>
  <sheets>
    <sheet name="Pamatbudžets   " sheetId="1" r:id="rId1"/>
    <sheet name="Ieņēmumi" sheetId="2" r:id="rId2"/>
    <sheet name="Izdevumi" sheetId="3" r:id="rId3"/>
    <sheet name="Mērķdot. " sheetId="4" r:id="rId4"/>
    <sheet name="Fin. pagastu pārv." sheetId="5" r:id="rId5"/>
    <sheet name="Sheet1" sheetId="6" r:id="rId6"/>
    <sheet name="Sheet2" sheetId="7" r:id="rId7"/>
    <sheet name="Sheet3" sheetId="8" r:id="rId8"/>
  </sheets>
  <externalReferences>
    <externalReference r:id="rId11"/>
  </externalReferences>
  <definedNames>
    <definedName name="_xlnm.Print_Titles" localSheetId="0">'Pamatbudžets   '!$7:$7</definedName>
  </definedNames>
  <calcPr fullCalcOnLoad="1"/>
</workbook>
</file>

<file path=xl/sharedStrings.xml><?xml version="1.0" encoding="utf-8"?>
<sst xmlns="http://schemas.openxmlformats.org/spreadsheetml/2006/main" count="1140" uniqueCount="727">
  <si>
    <t>Papildus finansējums konkrētiem mērķiem</t>
  </si>
  <si>
    <t>Iestāde</t>
  </si>
  <si>
    <t>Pamatojums</t>
  </si>
  <si>
    <t>Pieprasīts</t>
  </si>
  <si>
    <t>Piezīmes</t>
  </si>
  <si>
    <t>Klasifikācijas kods</t>
  </si>
  <si>
    <t>Sociālais nodoklis</t>
  </si>
  <si>
    <t>Izglītība</t>
  </si>
  <si>
    <t>04.000</t>
  </si>
  <si>
    <t>PII</t>
  </si>
  <si>
    <t>05.200</t>
  </si>
  <si>
    <t>06.000</t>
  </si>
  <si>
    <t>07.000</t>
  </si>
  <si>
    <t>Kultūra</t>
  </si>
  <si>
    <t>08.000</t>
  </si>
  <si>
    <t>10.000</t>
  </si>
  <si>
    <t>Sporta centrs</t>
  </si>
  <si>
    <t>1100</t>
  </si>
  <si>
    <t>1200</t>
  </si>
  <si>
    <t>Kopā uz korekcijām:</t>
  </si>
  <si>
    <t>Iekšējas korekcijas</t>
  </si>
  <si>
    <t xml:space="preserve">   Ieņēmuma pozīcijas nosaukums             </t>
  </si>
  <si>
    <t>Kods</t>
  </si>
  <si>
    <t>KOPĀ :</t>
  </si>
  <si>
    <t>Pielikums Nr.1</t>
  </si>
  <si>
    <t>4.1.1.0.</t>
  </si>
  <si>
    <t>4.1.2.0.</t>
  </si>
  <si>
    <t>5.4.1.0.</t>
  </si>
  <si>
    <t>Pašvaldību nodevas</t>
  </si>
  <si>
    <t>9.5.0.0.</t>
  </si>
  <si>
    <t>05.000</t>
  </si>
  <si>
    <t>Pabalsts maznodrošinātām ģimenēm</t>
  </si>
  <si>
    <t>Pašvaldības policija</t>
  </si>
  <si>
    <t>Kopā izdevumi:</t>
  </si>
  <si>
    <t>Kredīta atmaksa</t>
  </si>
  <si>
    <t>S.Velberga</t>
  </si>
  <si>
    <t>Paskaidrojums pie budžeta grozījumiem</t>
  </si>
  <si>
    <t>Nodokļu ieņēmumi</t>
  </si>
  <si>
    <t>1.1.1.0.</t>
  </si>
  <si>
    <t>1.1.1.1.</t>
  </si>
  <si>
    <t>1.1.1.2.</t>
  </si>
  <si>
    <t>4.1.0.0.</t>
  </si>
  <si>
    <t>Nekustamā īpašuma nodoklis</t>
  </si>
  <si>
    <t>Nekustamā īpašuma nodoklis par zemi</t>
  </si>
  <si>
    <t xml:space="preserve">Nekustamā īpašuma nodoklis par ēkām </t>
  </si>
  <si>
    <t>Azartspēļu nodoklis</t>
  </si>
  <si>
    <t>Nenodokļu ieņēmumi</t>
  </si>
  <si>
    <t>9.4.0.0.</t>
  </si>
  <si>
    <t>Valsts nodevas, kuras ieskaita pašvaldību budžetā</t>
  </si>
  <si>
    <t>Pārējie nenodokļu ieņēmumi</t>
  </si>
  <si>
    <t>18.0.0.0.</t>
  </si>
  <si>
    <t>Valsts budžeta transferti</t>
  </si>
  <si>
    <t>19.0.0.0.</t>
  </si>
  <si>
    <t>Pašvaldību budžetu transferti</t>
  </si>
  <si>
    <t>19.2.0.0.</t>
  </si>
  <si>
    <t>19.3.0.0.</t>
  </si>
  <si>
    <t>21.0.0.0.</t>
  </si>
  <si>
    <t>Budžeta iestāžu ieņēmumi</t>
  </si>
  <si>
    <t>21.3.0.0.</t>
  </si>
  <si>
    <t>21.3.8.0.</t>
  </si>
  <si>
    <t>Ieņēmumi par nomu un īri</t>
  </si>
  <si>
    <t>21.3.9.0.</t>
  </si>
  <si>
    <t>Ieņēmumi par pārējiem budžeta iestāžu maksas pakalpojumiem</t>
  </si>
  <si>
    <t>KOPĀ IEŅĒMUMI</t>
  </si>
  <si>
    <t>Valsts kases kredīts</t>
  </si>
  <si>
    <t>Kopā ar kredītresursiem:</t>
  </si>
  <si>
    <t>Kopā ar budžeta atlikumu</t>
  </si>
  <si>
    <t>Pielikums Nr.2</t>
  </si>
  <si>
    <t>01.000</t>
  </si>
  <si>
    <t>Vispārējie valdības dienesti</t>
  </si>
  <si>
    <t>01.720</t>
  </si>
  <si>
    <t>Pašvaldību budžetu parāda darījumi</t>
  </si>
  <si>
    <t>01.721</t>
  </si>
  <si>
    <t xml:space="preserve">       Pašvaldību budžetu valsts iekšējā parāda darījumi</t>
  </si>
  <si>
    <t>01.830</t>
  </si>
  <si>
    <t>Vispārēja rakstura transferti no pašvaldību budžeta pašvaldību budžetam</t>
  </si>
  <si>
    <t xml:space="preserve">       Norēķini ar citu pašvaldību izglītības iestādēm</t>
  </si>
  <si>
    <t>01.890</t>
  </si>
  <si>
    <t>03.000</t>
  </si>
  <si>
    <t>Sabiedriskā kārtība un drošība</t>
  </si>
  <si>
    <t>03.600</t>
  </si>
  <si>
    <t>Ekonomiskā darbība</t>
  </si>
  <si>
    <t>04.111</t>
  </si>
  <si>
    <t>Vispārējas ekonomiskas darbības vadība</t>
  </si>
  <si>
    <t>04.210</t>
  </si>
  <si>
    <t>04.220</t>
  </si>
  <si>
    <t>Mežsaimniecība un medniecība</t>
  </si>
  <si>
    <t>04.510</t>
  </si>
  <si>
    <t>Autotransports</t>
  </si>
  <si>
    <t xml:space="preserve">       Ceļu būvniecībai un remontiem</t>
  </si>
  <si>
    <t>04.600</t>
  </si>
  <si>
    <t>Sakari</t>
  </si>
  <si>
    <t>Vides aizsardzība</t>
  </si>
  <si>
    <t>05.100</t>
  </si>
  <si>
    <t>Atkritumu apsaimniekošana</t>
  </si>
  <si>
    <t>Notekūdeņu apsaimniekošana</t>
  </si>
  <si>
    <t xml:space="preserve">       Notekūdeņu (savākšana un attīrīšana)</t>
  </si>
  <si>
    <t>Pašvaldības teritoriju un mājokļu apsaimniekošana</t>
  </si>
  <si>
    <t>06.300</t>
  </si>
  <si>
    <t>Ūdensapgāde</t>
  </si>
  <si>
    <t>Ielu apgaismošana</t>
  </si>
  <si>
    <t>06.600</t>
  </si>
  <si>
    <t>Pārējā citur nekvalificētā pašvaldību teritoriju un mājokļu apsaimniekošanas darbība</t>
  </si>
  <si>
    <t>Veselība</t>
  </si>
  <si>
    <t>07.210</t>
  </si>
  <si>
    <t>Ambulatorās ārstniecības iestādes</t>
  </si>
  <si>
    <t>Atpūta, kultūra un reliģija</t>
  </si>
  <si>
    <t>08.100</t>
  </si>
  <si>
    <t>Atpūtas un sporta  pasākumi</t>
  </si>
  <si>
    <t xml:space="preserve">       Sporta pasākumu rīkošanai</t>
  </si>
  <si>
    <t xml:space="preserve">       Komandas vai individuālu sacensību dalībnieku atbalstam</t>
  </si>
  <si>
    <t>08.200</t>
  </si>
  <si>
    <t>08.230</t>
  </si>
  <si>
    <t>08.290</t>
  </si>
  <si>
    <t>Televīzija</t>
  </si>
  <si>
    <t>Izdevniecība ( Novada informatīvie izdevumi )</t>
  </si>
  <si>
    <t>09.000</t>
  </si>
  <si>
    <t>09.100</t>
  </si>
  <si>
    <t>PII  "Sprīdītis"</t>
  </si>
  <si>
    <t>PII  "Cīrulītis"</t>
  </si>
  <si>
    <t>PII  "Dzīpariņš"</t>
  </si>
  <si>
    <t>PII  "Zelta sietiņš"</t>
  </si>
  <si>
    <t>PII  "Saulīte"</t>
  </si>
  <si>
    <t>PII " Ābelīte"</t>
  </si>
  <si>
    <t>09.210</t>
  </si>
  <si>
    <t>09.211</t>
  </si>
  <si>
    <t>Ogres 1. vidusskola</t>
  </si>
  <si>
    <t>Jaunogres vidusskola</t>
  </si>
  <si>
    <t>Ogresgala pamatskola</t>
  </si>
  <si>
    <t>09.510</t>
  </si>
  <si>
    <t>Interešu un profesionālās ievirzes izglītība</t>
  </si>
  <si>
    <t>Mūzikas skola</t>
  </si>
  <si>
    <t>Mākslas skola</t>
  </si>
  <si>
    <t>Bērnu un jauniešu centrs</t>
  </si>
  <si>
    <t>09.820</t>
  </si>
  <si>
    <t>Sociālā aizsardzība</t>
  </si>
  <si>
    <t>10.600</t>
  </si>
  <si>
    <t>Mājokļa atbalsts</t>
  </si>
  <si>
    <t>10.700</t>
  </si>
  <si>
    <t>Pārējais citur neklasificēts atbalsts sociāli atstumtām personām</t>
  </si>
  <si>
    <t xml:space="preserve">Sociālais dienests </t>
  </si>
  <si>
    <t>Vietējie valdības dienesti</t>
  </si>
  <si>
    <t>Vispārējā izglītība</t>
  </si>
  <si>
    <t>Pašvaldības teritoriju un mājokļu apsaimniek.</t>
  </si>
  <si>
    <t>Jaunogres v-sk.</t>
  </si>
  <si>
    <t>Ogresgala pamatsk.</t>
  </si>
  <si>
    <t xml:space="preserve">  Kopā:</t>
  </si>
  <si>
    <t>Apstiprinātās mērķdot.</t>
  </si>
  <si>
    <t>Korekcijas</t>
  </si>
  <si>
    <t>Mērķdot.ped.algām</t>
  </si>
  <si>
    <t>Basketbola skola</t>
  </si>
  <si>
    <t>Ogres 1.vidussk.</t>
  </si>
  <si>
    <t>Ģimnāzija</t>
  </si>
  <si>
    <t>Nemateriālie ieguldījumi</t>
  </si>
  <si>
    <t>13.0.0.0.</t>
  </si>
  <si>
    <t>Mērtķdotācijas pedagogu algām</t>
  </si>
  <si>
    <t xml:space="preserve">       Lietus ūdens kanalizācija </t>
  </si>
  <si>
    <t xml:space="preserve">    Muzeji un izstādes</t>
  </si>
  <si>
    <t xml:space="preserve">          Gaidu un skautu muzejs</t>
  </si>
  <si>
    <t xml:space="preserve">    Finansējums PA "Ogres kultūras centrs"</t>
  </si>
  <si>
    <t xml:space="preserve">    Pilsētas dekorēšana svētkiem</t>
  </si>
  <si>
    <t xml:space="preserve">    Pensionēto izglītības darbinieku pasāk.</t>
  </si>
  <si>
    <t>PII " Strautiņš"</t>
  </si>
  <si>
    <t xml:space="preserve">Pozīcijas nosaukums             </t>
  </si>
  <si>
    <t>Ieņēmumi no iedzīvotāju ienākuma nodokļa</t>
  </si>
  <si>
    <t>Saņemts no VK sadales konta  iepriekšējā gada nesadalītais iedzīvotāju ienākuma nodokļa atlikums</t>
  </si>
  <si>
    <t>Saņemts no VK sadales konta  pārskata gadā ieskaitītais iedzīvotāju ienākuma nodoklis</t>
  </si>
  <si>
    <t>4.0.0.0.</t>
  </si>
  <si>
    <t>Īpašuma nodokļi</t>
  </si>
  <si>
    <t>8.6.0.0.</t>
  </si>
  <si>
    <t>Procentu ieņēmumi par depozītiem, kontu atlikumiem un vērtpapīriem</t>
  </si>
  <si>
    <t>10.1.0.0.</t>
  </si>
  <si>
    <t>Naudas sodi</t>
  </si>
  <si>
    <t>19.1.0.0.</t>
  </si>
  <si>
    <t>21.3.5.0.</t>
  </si>
  <si>
    <t>Maksa par izglītības pakalpojumiem</t>
  </si>
  <si>
    <t>21.3.7.0.</t>
  </si>
  <si>
    <t>Būvvalde</t>
  </si>
  <si>
    <t>Mājokļu attīstība pašvaldībā</t>
  </si>
  <si>
    <t xml:space="preserve">      Pārējie izdevumi</t>
  </si>
  <si>
    <t xml:space="preserve">       Ģimenes ārstu prakse </t>
  </si>
  <si>
    <t xml:space="preserve">    Bibliotēkas </t>
  </si>
  <si>
    <t>PII "Riekstiņš"</t>
  </si>
  <si>
    <t>PII "Taurenītis"</t>
  </si>
  <si>
    <t xml:space="preserve">Ķeipenes pamatskola </t>
  </si>
  <si>
    <t>Madlienas vidusskola</t>
  </si>
  <si>
    <t>09.219</t>
  </si>
  <si>
    <t>Suntažu vidusskola</t>
  </si>
  <si>
    <t>Suntažu sanatorijas internātpamatskola</t>
  </si>
  <si>
    <t>Madlienas mūzikas un mākslas skola</t>
  </si>
  <si>
    <t>09.600</t>
  </si>
  <si>
    <t>Izglītības papildu pakalpojumi</t>
  </si>
  <si>
    <t>Atbalsts bezdarba gadījumā</t>
  </si>
  <si>
    <t xml:space="preserve">Sabiedriskās organizācijas </t>
  </si>
  <si>
    <t>Bērnu nams "Laubere"</t>
  </si>
  <si>
    <t>Pansionāts "Madliena"</t>
  </si>
  <si>
    <t>F40 32 00 20</t>
  </si>
  <si>
    <t>Preces un pakalpojumi</t>
  </si>
  <si>
    <t>Komandējumi un dienesta braucieni</t>
  </si>
  <si>
    <t>Pakalpojumi</t>
  </si>
  <si>
    <t>Krājumi,materiāli,energoresursi,prece,biroja preces un inventārs, ko neuzskaita  5000. kodā</t>
  </si>
  <si>
    <t>Izdevumi periodikas iegādei</t>
  </si>
  <si>
    <t>Budžeta iestāžu nodokļu maksājumi</t>
  </si>
  <si>
    <t xml:space="preserve">Pārējie procentu maksājumi </t>
  </si>
  <si>
    <t>Pamatlīdzekļi</t>
  </si>
  <si>
    <t xml:space="preserve">Sociālie pabalsti naudā </t>
  </si>
  <si>
    <t>Sociālie pabalsti natūrā</t>
  </si>
  <si>
    <t xml:space="preserve"> IZDEVUMI KOPĀ</t>
  </si>
  <si>
    <t>2100</t>
  </si>
  <si>
    <t>2200</t>
  </si>
  <si>
    <t>5200</t>
  </si>
  <si>
    <t>2300</t>
  </si>
  <si>
    <t>21.1.0.0.</t>
  </si>
  <si>
    <t xml:space="preserve">Budžeta iestādes ieņēmumi no ārvalstu finanšu palīdzības </t>
  </si>
  <si>
    <t>F56010000</t>
  </si>
  <si>
    <t>Kapitālieguldījumu fondu akcijas</t>
  </si>
  <si>
    <t>PII "Saulīte"</t>
  </si>
  <si>
    <t>Valsts kases kredīts   F40 32 00 10</t>
  </si>
  <si>
    <t>Atalgojums</t>
  </si>
  <si>
    <t xml:space="preserve">No vispārējiem ieņēmumiem </t>
  </si>
  <si>
    <t>LAD projekts</t>
  </si>
  <si>
    <t>Kopā:</t>
  </si>
  <si>
    <t>Krapes pagasts</t>
  </si>
  <si>
    <t>Ķeipenes pagasts</t>
  </si>
  <si>
    <t>Lauberes pagasts</t>
  </si>
  <si>
    <t>Madlienas pagasts</t>
  </si>
  <si>
    <t>Mazozolu pagasts</t>
  </si>
  <si>
    <t>Meņģeles pagasts</t>
  </si>
  <si>
    <t>Suntažu pagasts</t>
  </si>
  <si>
    <t>Taurupes pagasts</t>
  </si>
  <si>
    <t>Kopā novadā:</t>
  </si>
  <si>
    <t>Izdevumu mērķa atšifrējums no vispārējiem ieņēmumiem</t>
  </si>
  <si>
    <t>Atbalsts ģimenēm ar bērniem (Bāriņtiesas)</t>
  </si>
  <si>
    <t>Finansējums grāmatām</t>
  </si>
  <si>
    <t>18.6.0.0.</t>
  </si>
  <si>
    <t>Pašvaldību budžetā saņemtie uzturēšanas izdevumu transferti no valsts budžeta</t>
  </si>
  <si>
    <t>Ogres sākumskola</t>
  </si>
  <si>
    <t>Kapitālais remonts un rekonstrukcija</t>
  </si>
  <si>
    <t>4.1.3.0.</t>
  </si>
  <si>
    <t>Nekustamā īpašuma nodoklis par mājokļiem</t>
  </si>
  <si>
    <t>Pašvaldību saņemtie transferti no valsts budžeta</t>
  </si>
  <si>
    <t>Pašvaldības budžeta iekšējie transferti starp vienas pašvaldības budžeta veidiem</t>
  </si>
  <si>
    <t>Pašvaldību saņemtie transferti no citām pašvaldībām</t>
  </si>
  <si>
    <t>Ieņēmumi no budžeta iestāžu sniegtajiem maksas pakalpojumiem un citi pašu ieņēmumi</t>
  </si>
  <si>
    <t>01.100</t>
  </si>
  <si>
    <t xml:space="preserve">Izpildvaras un likumdošanas varas  institūcijas </t>
  </si>
  <si>
    <t>01.820</t>
  </si>
  <si>
    <t>Vispārēja rakstura transferti no pašvaldību budžeta valsts budžetam</t>
  </si>
  <si>
    <t xml:space="preserve">Izdevumi neparedzētiem gadījumiem </t>
  </si>
  <si>
    <t>03.110</t>
  </si>
  <si>
    <t>Pārējie sabiedriskās kārtības un drošības pakalpojumi (Video novērošanai Ogrē)</t>
  </si>
  <si>
    <t>04.11101</t>
  </si>
  <si>
    <t>Uzņēmējdarbības  attīstības veicināšanai</t>
  </si>
  <si>
    <t xml:space="preserve">Lauksaimniecība </t>
  </si>
  <si>
    <t>04.51004</t>
  </si>
  <si>
    <t>Pārējais autotransports</t>
  </si>
  <si>
    <t>04.6001</t>
  </si>
  <si>
    <t>05.1001</t>
  </si>
  <si>
    <t>05.2001</t>
  </si>
  <si>
    <t>05.2002</t>
  </si>
  <si>
    <t>05.300</t>
  </si>
  <si>
    <t>Vides piesārņojuma novēršana un samazināšana</t>
  </si>
  <si>
    <t>05.400</t>
  </si>
  <si>
    <t>Bioloģiskās daudzveidības un ainavas aizsardzība</t>
  </si>
  <si>
    <t>Teritoriju attīstība ( projektēšanai )</t>
  </si>
  <si>
    <t>06.60001</t>
  </si>
  <si>
    <t>06.60002</t>
  </si>
  <si>
    <t>06.60003</t>
  </si>
  <si>
    <t>06.60006</t>
  </si>
  <si>
    <t>06.60007</t>
  </si>
  <si>
    <t>06.60008</t>
  </si>
  <si>
    <t>06.60009</t>
  </si>
  <si>
    <t>06.60010</t>
  </si>
  <si>
    <t xml:space="preserve">      Saimniecības nodaļa</t>
  </si>
  <si>
    <t>08.1001</t>
  </si>
  <si>
    <t>08.1002</t>
  </si>
  <si>
    <t>08.2201</t>
  </si>
  <si>
    <t>08.2202</t>
  </si>
  <si>
    <t>Pārējā citur neklasificētā kultūra</t>
  </si>
  <si>
    <t>08.29001</t>
  </si>
  <si>
    <t>08.29002</t>
  </si>
  <si>
    <t>08.29003</t>
  </si>
  <si>
    <t xml:space="preserve">Pirmsskolas izglītība </t>
  </si>
  <si>
    <t>09.10001</t>
  </si>
  <si>
    <t>09.10002</t>
  </si>
  <si>
    <t>09.10003</t>
  </si>
  <si>
    <t>09.10004</t>
  </si>
  <si>
    <t>09.10005</t>
  </si>
  <si>
    <t>09.10006</t>
  </si>
  <si>
    <t>09.10007</t>
  </si>
  <si>
    <t>09.10008</t>
  </si>
  <si>
    <t>09.10009</t>
  </si>
  <si>
    <t>09.10010</t>
  </si>
  <si>
    <t>Sākumskolas (ISCED-97 1. līmenis)</t>
  </si>
  <si>
    <t>Vispārējās izglītības mācību iestāžu izdevumi (ISCED-97 1.- 3. līmenis)</t>
  </si>
  <si>
    <t>09.21901</t>
  </si>
  <si>
    <t>09.21902</t>
  </si>
  <si>
    <t>Ogres ģimnāzija</t>
  </si>
  <si>
    <t>09.21903</t>
  </si>
  <si>
    <t>09.21904</t>
  </si>
  <si>
    <t>09.21905</t>
  </si>
  <si>
    <t>09.21906</t>
  </si>
  <si>
    <t>09.21907</t>
  </si>
  <si>
    <t>09.21908</t>
  </si>
  <si>
    <t>09.21910</t>
  </si>
  <si>
    <t>09.5101</t>
  </si>
  <si>
    <t>09.5102</t>
  </si>
  <si>
    <t>09.5103</t>
  </si>
  <si>
    <t>09.5104</t>
  </si>
  <si>
    <t>09.5105</t>
  </si>
  <si>
    <t>09.5106</t>
  </si>
  <si>
    <t>Pārējā citur neklasificētā izglītība (izglītības projektu realizācija)</t>
  </si>
  <si>
    <t>09.82007</t>
  </si>
  <si>
    <t>09.82008</t>
  </si>
  <si>
    <t>10.70001</t>
  </si>
  <si>
    <t>10.70002</t>
  </si>
  <si>
    <t>10.70004</t>
  </si>
  <si>
    <t>10.70005</t>
  </si>
  <si>
    <t>10.70010</t>
  </si>
  <si>
    <t>01.830    7230</t>
  </si>
  <si>
    <t>Pašvaldību  uzturēšanas izdevumu transferti padotības iestādēm</t>
  </si>
  <si>
    <t>Darba devēja valsts sociālās apdrošināšanas obligātās iemaksas, sociālā rakstura pabalsti un kompensācijas</t>
  </si>
  <si>
    <t>Pakalpojumi, kurus budžeta iestādes apmaksā noteikto funkciju ietvaros, kas nav iestādes administratīvie izdevumi</t>
  </si>
  <si>
    <t>Subsīdijas un dotācijas komersantiem, biedrībām un nodibinājumiem</t>
  </si>
  <si>
    <t>Pārējie maksājumi iedzīvotājiem natūrā un kompensācijas</t>
  </si>
  <si>
    <t>Pašvaldību uzturēšanas izdevumu transferti</t>
  </si>
  <si>
    <t xml:space="preserve">Kopā </t>
  </si>
  <si>
    <t>06.100</t>
  </si>
  <si>
    <t xml:space="preserve">Mērķdot. Kolekt.vad. darb.sam.    </t>
  </si>
  <si>
    <t xml:space="preserve">Mērķdot. visp.izgl. ped. darb.sam.  </t>
  </si>
  <si>
    <t xml:space="preserve">Mērķdotācija interer. izgl.    </t>
  </si>
  <si>
    <t xml:space="preserve">Mērķdot. 5.-6.gad. apm. ped.darb.sam   </t>
  </si>
  <si>
    <t>Ogres sākumsk.</t>
  </si>
  <si>
    <t>03.200</t>
  </si>
  <si>
    <t>04.51006</t>
  </si>
  <si>
    <t xml:space="preserve">          Vēstures un mākslas muzejs</t>
  </si>
  <si>
    <t>08.29009</t>
  </si>
  <si>
    <t xml:space="preserve">Mērķis </t>
  </si>
  <si>
    <t>06.60011</t>
  </si>
  <si>
    <t>Ugunsdrošības, glābšanas un civilās drošības dienesti</t>
  </si>
  <si>
    <t>Pārējā citur neklasificētā izglītība</t>
  </si>
  <si>
    <t>Krājumi, materiāli,energoresursi,preces</t>
  </si>
  <si>
    <t>3200</t>
  </si>
  <si>
    <t>Notekūdeņu savākšana un attīrīšana</t>
  </si>
  <si>
    <t>Dotācija biedrībām un organizācijām</t>
  </si>
  <si>
    <t>Ieņēmumi no pašvaldības īpašuma iznomāšanas, pārdošanas un nodokļu pamatp.kapitaliz.</t>
  </si>
  <si>
    <t>Publisko interneta pieejas punktu attīstība</t>
  </si>
  <si>
    <t xml:space="preserve">      Īpašumu uzmērīšanai un reģistrēšanai Zemesgrāmatā</t>
  </si>
  <si>
    <t>Taurupes pamatskola</t>
  </si>
  <si>
    <t>EUR</t>
  </si>
  <si>
    <t>Finansējums māc.līdz.</t>
  </si>
  <si>
    <t>Pašvaldību saņemtie transferti no valsts budžeta daļēji finansētām atvasinātām publiskām personām un no budžeta nefinansētām iestādēm</t>
  </si>
  <si>
    <t>17.2.0.0.</t>
  </si>
  <si>
    <r>
      <t xml:space="preserve">Kods 18.6.3.0. “ </t>
    </r>
    <r>
      <rPr>
        <i/>
        <sz val="14"/>
        <rFont val="Times New Roman"/>
        <family val="1"/>
      </rPr>
      <t xml:space="preserve">Pašvaldību no valsts budžeta iestādēm saņemtie transferti ES politiku instrumentu  un pārējās ārvalstu finanšu palīdzības līdzfinansētajiem projektiem </t>
    </r>
    <r>
      <rPr>
        <sz val="14"/>
        <rFont val="Times New Roman"/>
        <family val="1"/>
      </rPr>
      <t xml:space="preserve">” </t>
    </r>
  </si>
  <si>
    <t>Ceļu būvniecībai un remontiem</t>
  </si>
  <si>
    <t>Izpildvara</t>
  </si>
  <si>
    <r>
      <t xml:space="preserve">Kods 18.6.2.0. “ </t>
    </r>
    <r>
      <rPr>
        <i/>
        <sz val="14"/>
        <rFont val="Times New Roman"/>
        <family val="1"/>
      </rPr>
      <t>Pašvaldību budžetā saņemtie valsts transferti noteiktam mērķim</t>
    </r>
    <r>
      <rPr>
        <sz val="14"/>
        <rFont val="Times New Roman"/>
        <family val="1"/>
      </rPr>
      <t xml:space="preserve">” </t>
    </r>
  </si>
  <si>
    <t>6200</t>
  </si>
  <si>
    <t>21.3.0.0.0</t>
  </si>
  <si>
    <t>Mājokļu apsaimniekošana</t>
  </si>
  <si>
    <t>Siltumapgāde</t>
  </si>
  <si>
    <t>Finansējums māc.literat. 5-6 gad.</t>
  </si>
  <si>
    <t xml:space="preserve">       Norēķini ar citu pašvaldību sociālo pakalpojumu iestādēm</t>
  </si>
  <si>
    <t>08.29011</t>
  </si>
  <si>
    <t>PA Rosme</t>
  </si>
  <si>
    <t>Budžeta nodaļas vadītāja</t>
  </si>
  <si>
    <t>PA "Rosme"</t>
  </si>
  <si>
    <t>01.890   2200</t>
  </si>
  <si>
    <t>F20010000 AS</t>
  </si>
  <si>
    <t>F20010000 AB</t>
  </si>
  <si>
    <t>1.,2.,3.,4. klases skoln. Ēdināš.</t>
  </si>
  <si>
    <t xml:space="preserve">Pārējie 21.3.0.0.grupā neklasificētie budžeta iestāžu ieņēmumi </t>
  </si>
  <si>
    <t>21.4.0.0.0</t>
  </si>
  <si>
    <t>Suntažu internātsk.</t>
  </si>
  <si>
    <t>09.82025</t>
  </si>
  <si>
    <t>21.4.9.0</t>
  </si>
  <si>
    <t>Pārējie iepriekš neklasificētie pašu ieņēmumi</t>
  </si>
  <si>
    <t>04.11114</t>
  </si>
  <si>
    <t>04.11115</t>
  </si>
  <si>
    <t>04.2101</t>
  </si>
  <si>
    <t>04.2103</t>
  </si>
  <si>
    <t>04.51007</t>
  </si>
  <si>
    <t xml:space="preserve">     Grants ceļu bez cietā seguma posmu pārbūve Ogres novadā</t>
  </si>
  <si>
    <t>05.1007</t>
  </si>
  <si>
    <t xml:space="preserve">      Koncesija atkritumu apsaimniekošana</t>
  </si>
  <si>
    <t>05.30010</t>
  </si>
  <si>
    <t>05.30011</t>
  </si>
  <si>
    <t>06.1001</t>
  </si>
  <si>
    <t>08.1004</t>
  </si>
  <si>
    <t xml:space="preserve">       Struktūrvienība peldbaseins  "Neptūns"</t>
  </si>
  <si>
    <t>08.2203</t>
  </si>
  <si>
    <t>Pārējā izglītības vadība (Izglītības, kultūras un sporta pārvalde)</t>
  </si>
  <si>
    <t>09.82026</t>
  </si>
  <si>
    <t>09.82028</t>
  </si>
  <si>
    <t xml:space="preserve">       Nordplus programma - Ogres Mūzikas skolas projekts "Innovative Bridge of Music"</t>
  </si>
  <si>
    <t>09.82030</t>
  </si>
  <si>
    <t xml:space="preserve">      8.1.2.SAM "Uzlabot vispārējās izglītības iestāžu mācību vidi Ogres novadā"</t>
  </si>
  <si>
    <t>Mācību, darba un dienesta komandējumi, dienesta, darba braucieni</t>
  </si>
  <si>
    <t>Kompensācijas, kuras izmaksā personām, pamatojoties uz Latvijas tiesu nolēmumiem</t>
  </si>
  <si>
    <t>Sprīdītis</t>
  </si>
  <si>
    <t>Cīrulītis</t>
  </si>
  <si>
    <t>Dzīpariņš</t>
  </si>
  <si>
    <t>Zelta sietiņš</t>
  </si>
  <si>
    <t>Saulīte</t>
  </si>
  <si>
    <t>Ābelīte</t>
  </si>
  <si>
    <t>Strautiņš</t>
  </si>
  <si>
    <t>Riekstiņš</t>
  </si>
  <si>
    <t xml:space="preserve">   Kopā</t>
  </si>
  <si>
    <t>Mērķdot.ped.algām 5-6 gad.</t>
  </si>
  <si>
    <t>1.vidussk.</t>
  </si>
  <si>
    <t>Ģimnāzija.</t>
  </si>
  <si>
    <t>Jaunatnes centrs</t>
  </si>
  <si>
    <t>Apstipr.mērķd.inter.izgl.</t>
  </si>
  <si>
    <t>Koriģētā mērķd.inter.izgl.</t>
  </si>
  <si>
    <t>Mūzikas  skola</t>
  </si>
  <si>
    <t>10.70015</t>
  </si>
  <si>
    <t>Kredīta atmaksa        F40322220</t>
  </si>
  <si>
    <t>Līdzekļu atlikums uz gada beigām (Kases apgrozāmie līdzekļi)  F22010020</t>
  </si>
  <si>
    <t>Ģimnāzijai reģionālā metod.centra un pedagogu tālākizglītības centra darbības nodrošin. visp. izgl. iest. pedagogiem</t>
  </si>
  <si>
    <t>09.82032</t>
  </si>
  <si>
    <t>PII "Zelta sietiņš"</t>
  </si>
  <si>
    <t>PII "Ābelīte"</t>
  </si>
  <si>
    <t>PII "Cīrulītis"</t>
  </si>
  <si>
    <t>Sociālais dienests</t>
  </si>
  <si>
    <t>09.82033</t>
  </si>
  <si>
    <t>05.30012</t>
  </si>
  <si>
    <t xml:space="preserve">Papildus finansējums konkrētiem mērķiem </t>
  </si>
  <si>
    <t>Informatīvi pasākumi uzņēmējiem</t>
  </si>
  <si>
    <t>Laub. bērnunam.   Madl. pans.</t>
  </si>
  <si>
    <t>9.9.2.0</t>
  </si>
  <si>
    <t xml:space="preserve">Pašvaldības un tās iestāžu savstarpējie transferti </t>
  </si>
  <si>
    <t>Ieņēmumi no lauksaimnieciskās darbības</t>
  </si>
  <si>
    <t>01.600</t>
  </si>
  <si>
    <t>Pārējie iepriekš neklasificētie vispārējie valdības dienesti</t>
  </si>
  <si>
    <t>04.51008</t>
  </si>
  <si>
    <t xml:space="preserve">     Ēkas Parka ielā 1, Ogrē siltināšana un rekonstrukcija, pielāgojot pirmsskolas izglītības iestādes vajadzībām</t>
  </si>
  <si>
    <t xml:space="preserve">    Ēkas Upes prospektā 16, Ogrē  siltināšana un rekonstrukcija, pielāgojot Ogres novada Sociālā dienesta un tā struktūrvienību vajadzībām</t>
  </si>
  <si>
    <t>07.4501</t>
  </si>
  <si>
    <t>08.2301</t>
  </si>
  <si>
    <t>08.2302</t>
  </si>
  <si>
    <t>Kultūras centra kāpņu ansambļa pārbūve</t>
  </si>
  <si>
    <t xml:space="preserve">    Kultūras aktivitātes / pasākumi</t>
  </si>
  <si>
    <t>08.29005</t>
  </si>
  <si>
    <t>Ogres pilsētas vēsturiskā centra kultūras telpas revitalizācija, veicinot latvisko dzīvesziņu (Brīvības ielas skvēra pārbūve pie Zelta Liepas)</t>
  </si>
  <si>
    <t>08.29006</t>
  </si>
  <si>
    <t>Projekts Ķeipenes estrādes būvniecība</t>
  </si>
  <si>
    <t>Reliģisko organizāciju un citu biedrību un nodibinājumu pakalpojumi</t>
  </si>
  <si>
    <t xml:space="preserve">     Projekts Skolēnu autobusi (Šveice)</t>
  </si>
  <si>
    <t>Projekts Skolēnu autobusi (Soc.droš.tīkls)</t>
  </si>
  <si>
    <t>10.70003</t>
  </si>
  <si>
    <t>Sociālā dienesta asistentu pakalpojumi</t>
  </si>
  <si>
    <t>Procentu maksājumi iekšzemes kredītiestādēm</t>
  </si>
  <si>
    <t>Zaudējumi no valūtas kursa svārstībām</t>
  </si>
  <si>
    <t>09.82021</t>
  </si>
  <si>
    <t>Ģimnāzijas projekts "Fiziskās audzināšanas loma skolēnu veselības stiprināšanā"</t>
  </si>
  <si>
    <t>Pārējās nodevas</t>
  </si>
  <si>
    <t>01.83011</t>
  </si>
  <si>
    <t>01.83012</t>
  </si>
  <si>
    <t>01.83013</t>
  </si>
  <si>
    <t>03.2001</t>
  </si>
  <si>
    <t>Civilās daizsardzības pasākumi</t>
  </si>
  <si>
    <t>04.11102</t>
  </si>
  <si>
    <t>04.11103</t>
  </si>
  <si>
    <t xml:space="preserve">SAM 3.3.1. "Infrastruktūras attīstība, veicinot uzņēmējdarbības attīstību Kartonfabrikas rajonā, rekonstruējot Brīvības ielas posmu Ogrē </t>
  </si>
  <si>
    <t xml:space="preserve">   Novērst plūdu un krasta erozijas risku apdraudējumu Ogres pilsētas teritorijā, veicot vecā aizsargdambja pārbūvi un jauna aizsargmola (straumvirzes) būvniecību pie Ogres upes ietekas Daugavā</t>
  </si>
  <si>
    <t>04.4301</t>
  </si>
  <si>
    <t xml:space="preserve">     Ogres upes promenādes otrā kārta. Krasta ielas lejas promenādes pārbūve</t>
  </si>
  <si>
    <t>05.30001</t>
  </si>
  <si>
    <t>05.4001</t>
  </si>
  <si>
    <t xml:space="preserve">Mājokļu attīstība </t>
  </si>
  <si>
    <t>06.2001</t>
  </si>
  <si>
    <t>06.60004</t>
  </si>
  <si>
    <t xml:space="preserve">       Projektu konkurss "Veidojam vidi ap mums Ogres novadā"</t>
  </si>
  <si>
    <t xml:space="preserve">      Pašvaldības teritoriju labiekārtošana</t>
  </si>
  <si>
    <t xml:space="preserve">       Mājokļu apsaimniekošana</t>
  </si>
  <si>
    <t xml:space="preserve">       Siltumapgāde</t>
  </si>
  <si>
    <t xml:space="preserve">       Kapu saimniecība</t>
  </si>
  <si>
    <t xml:space="preserve">      Nevalstisko organizāciju projektu atbalstam</t>
  </si>
  <si>
    <t>07.2101</t>
  </si>
  <si>
    <t xml:space="preserve">       Projektu konkurss "R.A.D.I. Ogres novadam" (Kultūras, sporta un izglītības pasākumi, mācības, kursi)</t>
  </si>
  <si>
    <t xml:space="preserve">        Ģimnāzijas projekts ERASMUS programmas pamatdarbības Nr.2 (KA 2),stratēģisko skolu sadarbības partnerību projekts (VĀCIJA)</t>
  </si>
  <si>
    <t xml:space="preserve">       Ģimnāzijas projekts ERASMUS programmas pamatdarbības Nr. 2 (KA 2) stratēģisko skolu sadarbības partnerību projekts (ČEHIJA)</t>
  </si>
  <si>
    <t xml:space="preserve">  Ģimnāzijas projekts ERASMUS programmas stratēģisko skolu sadarbības partnerību projekts (ITĀLIJA) 2016-1-IT02-KA219-024226-3</t>
  </si>
  <si>
    <t xml:space="preserve"> ES projekts "Deinstitucionalizācija un sociālie pakalpojumi personām ar invaliditāti un bērniem"</t>
  </si>
  <si>
    <t>08.29007</t>
  </si>
  <si>
    <t>10.70006</t>
  </si>
  <si>
    <t>Jauniešu garantijas ietvaros projekta "PROTI un DARI!" īstenošana</t>
  </si>
  <si>
    <t>09.8101</t>
  </si>
  <si>
    <t>Interešu izglītības iestāžu pedagogu darba samaksai un soc.apdr. iemaksām</t>
  </si>
  <si>
    <t>Pamata un vispārējās izglītības iestāžu pedagogu darba samaksai un soc.apdr. iemaksām</t>
  </si>
  <si>
    <t>Sporta centram pedagogu darba samaksai un soc.apdr.iem.</t>
  </si>
  <si>
    <t>Basketbolskolai pedagogu darba samaksai un soc.apdr.iem.</t>
  </si>
  <si>
    <t>Papildus aktivitātes  Ogres novada pašvaldības iestādēs (vasaras nometnes)</t>
  </si>
  <si>
    <t>08.29008</t>
  </si>
  <si>
    <t>Finansējums bērniem, kuri apmeklē privātās pirmsskolas izglītības iestādes</t>
  </si>
  <si>
    <t>06.60012</t>
  </si>
  <si>
    <t xml:space="preserve">      Vides pieejamības nodrošināšana Ogres pilsētas pazemes pārejā zem sliežu ceļa</t>
  </si>
  <si>
    <t xml:space="preserve">      Līčkalniņa kapu kapličas būvniecība</t>
  </si>
  <si>
    <t xml:space="preserve">  Siltumnīcefekta gāzu emisiju samazināšana Ogres 1.vidusskolā</t>
  </si>
  <si>
    <t xml:space="preserve">   Bioloģiskās daudzveidības un ainavas aizsardzība</t>
  </si>
  <si>
    <t xml:space="preserve">      Ielu tīrīšanai, atkritumu savākšanai,teritoriju labiekārtošanai</t>
  </si>
  <si>
    <t xml:space="preserve">   Vispārējie lauksaimniecības izdevumi</t>
  </si>
  <si>
    <t xml:space="preserve">     Finansējums Ogres un Ikšķiles PA "Tūrisma, sporta un atpūtas kompleksa "Zilie kalni"attīstības aģentūra"</t>
  </si>
  <si>
    <t xml:space="preserve">      SAM 9.2.4.2. Pasākumi vietējās sabiedrības slimību profilaksei un veselības veicināšanai</t>
  </si>
  <si>
    <t xml:space="preserve">    Papildus aktivitātes  Ogres novada pašvaldības iestādēs (vasaras nometnes)</t>
  </si>
  <si>
    <t xml:space="preserve">    Kultūras mantojuma saglabāšana un attīstība Daugavas ceļā</t>
  </si>
  <si>
    <t xml:space="preserve">    Taurupes brīvdabas estrādes projekts (Zied zeme, LAD)</t>
  </si>
  <si>
    <t>06.60020</t>
  </si>
  <si>
    <t>08.2304</t>
  </si>
  <si>
    <t xml:space="preserve">    Kultūras centri, nami, klubi</t>
  </si>
  <si>
    <t xml:space="preserve">    Kultūras centri - tautas nami</t>
  </si>
  <si>
    <t>08.300</t>
  </si>
  <si>
    <t>Apraides un izdevniecības pakalpojumi</t>
  </si>
  <si>
    <t>Ēdināšanas izmaksu kompensācijas</t>
  </si>
  <si>
    <t>Skolnieku pārvadājumi</t>
  </si>
  <si>
    <t>06.60021</t>
  </si>
  <si>
    <t xml:space="preserve">     LAD proj. Krapes ev.luteriskās baznīcas torņa atjaunošana </t>
  </si>
  <si>
    <t>06.4001</t>
  </si>
  <si>
    <t>09.82034</t>
  </si>
  <si>
    <t>Jauns projekts</t>
  </si>
  <si>
    <t>Projekts "Jaunatnes politikas attīstība Ogres novadā"</t>
  </si>
  <si>
    <t>Ogres 1. vidusskolas ERASMUS programmas 1. pamatdarbības mobilitātes projekts "Jauna mācību pieredze skolēniem un skolotājiem"</t>
  </si>
  <si>
    <t>09.82035</t>
  </si>
  <si>
    <t>09.82001</t>
  </si>
  <si>
    <t>Karjeras atbalsts vispārējās un profesionālās izglītības iestādēs</t>
  </si>
  <si>
    <t>5100</t>
  </si>
  <si>
    <t>09.10011</t>
  </si>
  <si>
    <t>09.60010</t>
  </si>
  <si>
    <t>09.60020</t>
  </si>
  <si>
    <t>04.510010</t>
  </si>
  <si>
    <t>08.29013</t>
  </si>
  <si>
    <t>08.29017</t>
  </si>
  <si>
    <t>Sajūtu un brīvā laika pavadīšanas dārzs "Raiņa un Aspazijas saulainais stūrītis" (LAD)</t>
  </si>
  <si>
    <t xml:space="preserve">"Gaisma Ciemupes Tautas namā" (LAD) </t>
  </si>
  <si>
    <t>09.82036</t>
  </si>
  <si>
    <t>"Ogresgala pamatskolas sporta zāles atjaunošana un modernizēšana Ogres novada iedzīvotāju sportisko aktivitāšu dažādošanai" (LAD)</t>
  </si>
  <si>
    <t>09.82037</t>
  </si>
  <si>
    <t>09.82038</t>
  </si>
  <si>
    <t>SAM 5,6,2, Degradētās teritorijas Pārogres industriālajā parkā revitalizācija</t>
  </si>
  <si>
    <t>2500</t>
  </si>
  <si>
    <t>Ogres 1. vidusskolas ERASMUS programmas 2. pamatdarbības starpskolu stratēģisko partnerību projekts "21. gadsimta globalizācijas un ilgtspējības izaicinājumi"</t>
  </si>
  <si>
    <t>Ģimnāzijas ERASMUS programmas 2. pamatdarbības starpskolu stratēģisko partnerību projekts "Rītdienas mācīšana"</t>
  </si>
  <si>
    <t>Sākumskolas ERASMUS programmas 2. pamatdarbības starpskolu stratēģisko partnerību projekts "Kam ir bail no matemātikas"</t>
  </si>
  <si>
    <t>09.82041</t>
  </si>
  <si>
    <t>PA "Rosme" izdevumi</t>
  </si>
  <si>
    <t>Pielikumā PA "Rosme" budž. korekc.</t>
  </si>
  <si>
    <t>Atbalsts izglītojamo individuālo kompetenču attīstībai</t>
  </si>
  <si>
    <t>09.82039</t>
  </si>
  <si>
    <t>Izglītības iestāžu 5-6 gadīgo bērnu apmācības pedagogu darba samaksi un soc.apdr.iem.</t>
  </si>
  <si>
    <t>Suntažu internātpamatskola</t>
  </si>
  <si>
    <t>Mūzikas skolai pedagogu darba samaksai un soc.apdr.iem.</t>
  </si>
  <si>
    <t>Mākslas skolai pedagogu darba samaksai un soc.apdr.iem.</t>
  </si>
  <si>
    <t>08.2101</t>
  </si>
  <si>
    <t>Starptautiskā sadarbība</t>
  </si>
  <si>
    <t>09.82042</t>
  </si>
  <si>
    <t>SIA MS siltums  pamatkapitāla palielināšanai</t>
  </si>
  <si>
    <t>04.51009</t>
  </si>
  <si>
    <t>10.40001</t>
  </si>
  <si>
    <t>Ogres novada pašvaldības 2018. gada pamatbudžeta ieņēmumi.</t>
  </si>
  <si>
    <t xml:space="preserve">Ogres un Ogresgala 2018.g. budžets </t>
  </si>
  <si>
    <t>Pašvald. aģentūras "Kultūras centrs" 2018.g. budžets</t>
  </si>
  <si>
    <t>Pašvald. aģentūras "Rosme" 2018.g. budžets</t>
  </si>
  <si>
    <t>Suntažu pagasta pārvaldes 2018.g. budžets</t>
  </si>
  <si>
    <t>Lauberes pagasta pārvaldes 2018.g. budžets</t>
  </si>
  <si>
    <t>Ķeipenes pagasta pārvaldes 2018.g. budžets</t>
  </si>
  <si>
    <t>Madlienas pagasta pārvaldes 2018.g. budžets</t>
  </si>
  <si>
    <t>Krapes pagasta pārvaldes 2018.g. budžets</t>
  </si>
  <si>
    <t>Mazozolu pagasta pārvaldes 2018.g. budžets</t>
  </si>
  <si>
    <t>Meņģeles pagasta pārvaldes 2018.g. budžets</t>
  </si>
  <si>
    <t>Taurupes pagasta pārvaldes 2018.g. budžets</t>
  </si>
  <si>
    <t>Ogres novada pašvaldības 2018.g. budžets</t>
  </si>
  <si>
    <t>8.3.0.0.</t>
  </si>
  <si>
    <t>Īeņēmumi no dividendēm</t>
  </si>
  <si>
    <t>12.0.0.0.</t>
  </si>
  <si>
    <t>21.3.4.0.</t>
  </si>
  <si>
    <t>Procentu Ieņēmumi par  maksas pakalpojumiem</t>
  </si>
  <si>
    <t>F40 02 00 10</t>
  </si>
  <si>
    <t>Budžeta  atl.uz  01. 01. 2018.g.        F22010010</t>
  </si>
  <si>
    <t>Ogres novada pašvaldības 2018. gada pamatbudžeta  izdevumi atbilstoši funkcionālajām kategorijām.</t>
  </si>
  <si>
    <t>Meņģeles pagasta pārvaldes 20178.g. budžets</t>
  </si>
  <si>
    <t>03.6002</t>
  </si>
  <si>
    <t>Atskurbtuves pakalpojumiem</t>
  </si>
  <si>
    <t>Projektu pieteikumu, tehniskās dokumentācijas, topogrāfiju izstrāde un vides ekspertīzes, energoaudits</t>
  </si>
  <si>
    <t>04.11116</t>
  </si>
  <si>
    <t>Ogres novadnieka karte</t>
  </si>
  <si>
    <t>04.510011</t>
  </si>
  <si>
    <t>Jāņa Čakstes prospekta rekonstrukcija</t>
  </si>
  <si>
    <t>04.510012</t>
  </si>
  <si>
    <t>Rūpnieku ielas pārbūve</t>
  </si>
  <si>
    <t>04.510013</t>
  </si>
  <si>
    <t>Autostāvvietas projektēšana, būvniecība un būvuzraudzība pie PII Parka 1, Ogrē</t>
  </si>
  <si>
    <t>04.510014</t>
  </si>
  <si>
    <t>Mazozolu ceļa 7206 Pērles - Lāči posma remonts</t>
  </si>
  <si>
    <t xml:space="preserve">     Daugavpils šosejas (A6) atjaunošana sadarbībā ar Latvijas valsts ceļiem</t>
  </si>
  <si>
    <t xml:space="preserve"> Gājēju tunelis zem dzelzceļa sliežu ceļiem un Autotransporta tunelis zem dzelzceļa sliežu ceļiem </t>
  </si>
  <si>
    <t xml:space="preserve">         Kultūrvēsturiskā pieminekļa "Pie Zelta Liepas" rekonstrukcija</t>
  </si>
  <si>
    <t>08.2204</t>
  </si>
  <si>
    <t>Sudrabu Edžus memoriālā istaba</t>
  </si>
  <si>
    <t>08.2303</t>
  </si>
  <si>
    <t>Komunikāciju centrs Ķeipenē</t>
  </si>
  <si>
    <t>08.2305</t>
  </si>
  <si>
    <t>Teātra telpu izbūve Ogres kultūras centrā</t>
  </si>
  <si>
    <t>08.29004</t>
  </si>
  <si>
    <t xml:space="preserve">    Dalībai dziesmu un deju svētkos</t>
  </si>
  <si>
    <t>08.29018</t>
  </si>
  <si>
    <t>Ķeipenes dzelzceļa stacijas ēkas atjaunošana(LAD)</t>
  </si>
  <si>
    <t>08.29019</t>
  </si>
  <si>
    <t>Lejasdaugavas novadu iedzīvotāju iesaiste velo un ūdenstūrisma maršrutu par godu Latvijas simtgadei izstrādē, kā arī vides izglītošanā</t>
  </si>
  <si>
    <t>08.29020</t>
  </si>
  <si>
    <t>Projekts Viļņu mājas atjaunošana Ķeipenē</t>
  </si>
  <si>
    <t>08.3101</t>
  </si>
  <si>
    <t>08.3301</t>
  </si>
  <si>
    <t>08.4001</t>
  </si>
  <si>
    <t>Erasmus programmas projekts Digitālās kompetences darba tirgū jauniešiem</t>
  </si>
  <si>
    <t>10.4001</t>
  </si>
  <si>
    <t>10.5001</t>
  </si>
  <si>
    <t>10.70016</t>
  </si>
  <si>
    <t>ERAF "Pakalpojumu infrastruktūras attīstība deinstitualizācijas plānu īstenošanai"</t>
  </si>
  <si>
    <t>F55 01 00 13</t>
  </si>
  <si>
    <t>Ogres novada pašvaldības 2018. gada pamatbudžeta  izdevumi atbilstoši ekonomiskajām kategorijām.</t>
  </si>
  <si>
    <t>Ogres novada  2018.gada budžeta ieņēmumu grozījumi.</t>
  </si>
  <si>
    <t xml:space="preserve">Ogres un Ogresgala 2018.g. budžeta korekc. </t>
  </si>
  <si>
    <t>Pašvald. aģentūras "Kultūras centrs" 2018.g.korekc.</t>
  </si>
  <si>
    <t>Pašvald. aģentūras "Rosme" 2018.g.korekc.</t>
  </si>
  <si>
    <t>Budžeta atlikums uz 01.01.2018.</t>
  </si>
  <si>
    <t>Informācija par papildus izdevumu segšanai pieprasītajiem līdzekļiem 2018.gada budžeta grozījumos</t>
  </si>
  <si>
    <t>2018.gada koriģētās mērķdotācijas izglītības iestāžu pedagoģisko darbinieku darba samaksai un sociālās apdrošināšanas oblidātajām iemaksām.</t>
  </si>
  <si>
    <t>SKOLAS  2018.g.koriģētie izdevumi.</t>
  </si>
  <si>
    <t>PII koriģētie izdevumi    2018.gadā</t>
  </si>
  <si>
    <t>2018.g. interešu izglītībai koriģētie izdevumi.</t>
  </si>
  <si>
    <t>2018.g. profesionālās ievirzes izglītības iestāžu koriģētie izdevumi.</t>
  </si>
  <si>
    <t>Sabiedriskās organizācijas</t>
  </si>
  <si>
    <t>09.82043</t>
  </si>
  <si>
    <t>Ogres 1. vidusskolas ERASMUS programmas 2. pamatdarbības stratēģiskās partnerības projekts "Tavu teorētisko zināšanu lietojums praksē"</t>
  </si>
  <si>
    <t>Mērķdotācija</t>
  </si>
  <si>
    <t>2018.g. mērķdotācija tautas kolektīvu vadītājiem.</t>
  </si>
  <si>
    <t>06.60013</t>
  </si>
  <si>
    <t>Proj. "Ogres vecupes publiskās peldvietas labiekārtošana un ekoloģiskā līdzsvara paaugstināšana, paplašinot vides pieejamības iespējas"</t>
  </si>
  <si>
    <t>04.730</t>
  </si>
  <si>
    <t>Tūrisma informācijas centrs</t>
  </si>
  <si>
    <t>08.29010</t>
  </si>
  <si>
    <t>01.83014</t>
  </si>
  <si>
    <t>Pārējie transferti citām pašvaldībām</t>
  </si>
  <si>
    <t>09.82002</t>
  </si>
  <si>
    <t xml:space="preserve">     Atbalsts priekšlaicīgas mācību pārtraukšanas samazināšanai (Pumpurs)</t>
  </si>
  <si>
    <t xml:space="preserve">       Latvijas valsts simtgadei veltītu projektu īstenošanai</t>
  </si>
  <si>
    <t>Projekta nosaukums</t>
  </si>
  <si>
    <t xml:space="preserve">Palielinās Valsts kasei atgriežamais kredīts </t>
  </si>
  <si>
    <t xml:space="preserve">       Dabas un bioloģiskās daudzveidības saglabāšanas un aizsardzības pasākumi īpaši aizsargājamajā dabas teritorijā "Ogres ieleja"</t>
  </si>
  <si>
    <t>09.82045</t>
  </si>
  <si>
    <t>Projekta budžeta tāmes precizējums, atbalstāmo personu skaita pieaugums</t>
  </si>
  <si>
    <t>Ogres 1. vidusskolas ERASMUS programmas 1. pamatdarbības mobilitātes projekts "No vārdiem pie darbiem: mūsdienīgu lietpratību veicinoša skola"</t>
  </si>
  <si>
    <t>04.7301</t>
  </si>
  <si>
    <t>07.4502</t>
  </si>
  <si>
    <t>06.60022</t>
  </si>
  <si>
    <t>10.70007</t>
  </si>
  <si>
    <t>Sociālo pakalpojumu atbalsta sistēmas pilnveide</t>
  </si>
  <si>
    <t>04.11117</t>
  </si>
  <si>
    <t xml:space="preserve">     Veselības veicināšanas pasākumiem</t>
  </si>
  <si>
    <t>Veselības veicināšanas pasākumiem</t>
  </si>
  <si>
    <t>Energoefektivitātes pasākumi</t>
  </si>
  <si>
    <t>08.29021</t>
  </si>
  <si>
    <t xml:space="preserve">    Suntažu pagasta svētki -Suntažiem 795</t>
  </si>
  <si>
    <t>SIA "Ogres namsaimnieks"  pamatkapitāla palielināšanai</t>
  </si>
  <si>
    <t>Pašvald. aģentūras "Ogres komunikācijas" 2018.g. budžets</t>
  </si>
  <si>
    <t>Pašvald. aģentūras "Ogres komunikācijas" 2018.g. budž.korekc.</t>
  </si>
  <si>
    <t>Pašvaldību kapitālo izdevumu transferti</t>
  </si>
  <si>
    <t>SIA Ogres namsaimnieks finansējums domes deliģēto funkciju izpildei</t>
  </si>
  <si>
    <t>F21010020</t>
  </si>
  <si>
    <t xml:space="preserve">Naudas līdzekļu samazinājums </t>
  </si>
  <si>
    <t>PII "Strautiņš"</t>
  </si>
  <si>
    <t>09.100071</t>
  </si>
  <si>
    <t>09.100072</t>
  </si>
  <si>
    <t>PII "Strautiņš" fil.</t>
  </si>
  <si>
    <t>09.82004</t>
  </si>
  <si>
    <t>Ogres Valsts Ģimnāzijas ERASMUS+ programmas 2. pamatdarbības skolu apmaiņas partnerību projekts Nr.2018-1-FR01- KA229-047933_3</t>
  </si>
  <si>
    <t>Ogres Valsts Ģimnāzijas ERASMUS+ programmas 2. pamatdarbības skolu apmaiņas partnerību projekts Nr.2018-1-PT01- KA229-047540_6</t>
  </si>
  <si>
    <t>09.82005</t>
  </si>
  <si>
    <t>Savstarpēja vienošanās - no  Nordplus programma - Ogres Mūzikas skolas projekta "Innovative Bridge of Music" uz Madlienas vidusskolu par ēdināšanas izdevumiem</t>
  </si>
  <si>
    <t>Nordplus programma - Ogres Mūzikas skolas projekta "Innovative Bridge of Music"</t>
  </si>
  <si>
    <t>Savstarpēja vienošanās EUR 57 uz Madlienas vidusskolu par ēdināšanas pakalpojumu</t>
  </si>
  <si>
    <t>09.82003</t>
  </si>
  <si>
    <t>LR Kultūras ministrija programmas "Latvijas skolas soma" īstenošanai</t>
  </si>
  <si>
    <t>Valsts budžeta programmas "Latvijas Skolas soma" īstenošanai</t>
  </si>
  <si>
    <t>Iesniegums EUR 4 000 apsardzes sistēmas uzstādīšanai</t>
  </si>
  <si>
    <t>Iesniegums EUR 2 530 basketbola grozu aprīkojumam ar gaismas signāliem sporta hallē</t>
  </si>
  <si>
    <t>Ogres Valsts ģimnāzija</t>
  </si>
  <si>
    <t>VTP Madliena 30.08.2018. vienošanās ar Taurupes pagasta pārvaldi par transporta pakalpoj. slimnieka pārvešanai</t>
  </si>
  <si>
    <t>Savstarpējā vienošanās no Suntažu pag. uz Internātskolas pirmskolas izglītības grupu ēdināšanas pakalpoj.</t>
  </si>
  <si>
    <t>Suntažu Intrnātskola</t>
  </si>
  <si>
    <t xml:space="preserve">Vispārējās izglītības iestāžu pedagogu piemaksu, prēmiju un naudas balvu izmaksai </t>
  </si>
  <si>
    <t>EUR 816 izdevumu par PA Ogres komunikācijas pakalpojumiem</t>
  </si>
  <si>
    <t xml:space="preserve">    Valsts budžeta programmas "Latvijas Skolas soma" īstenošanai</t>
  </si>
  <si>
    <t xml:space="preserve">     Ogres Valsts Ģimnāzijas ERASMUS+ programmas 2. pamatdarbības skolu apmaiņas partnerību projekts Nr.2018-1-FR01- KA229-047933_3</t>
  </si>
  <si>
    <t xml:space="preserve">    Ogres Valsts Ģimnāzijas ERASMUS+ programmas 2. pamatdarbības skolu apmaiņas partnerību projekts Nr.2018-1-PT01- KA229-047540_6</t>
  </si>
  <si>
    <t>Taurupes pamatskolas iesniegums par papildus finansējumu vispārējās pamatizglītības nodrošināšanai (pedagogu atalgojumam)</t>
  </si>
  <si>
    <t>Ķeipenes pamatskolas iesniegums par papildus finansējumu vispārējās pamatizglītības nodrošināšanai (pedagogu atalgojumam)</t>
  </si>
  <si>
    <t>No funkcijas Uzņēmējdarbības  attīstības veicināšanai pārcelts uz Ķeipeni (vasaras darbs)</t>
  </si>
  <si>
    <t>Mērķdotācija Suntažu internātskolas finansēšanai</t>
  </si>
  <si>
    <t>04.11118</t>
  </si>
  <si>
    <t>LAD projekts Suntažu tirgus laukuma izveide</t>
  </si>
  <si>
    <t>LAD projekts Ēkas "Krievskola" kā vietējās tirdzniecības vietas atjaunošana</t>
  </si>
  <si>
    <t>Projekts noslēdzies</t>
  </si>
  <si>
    <t>Taurupes pamatskolas iesniegums par papildus finansējumu pirmskolas izglītības nodrošināšanai (pedagogu atalgojumam)</t>
  </si>
  <si>
    <t>Vienreizējs papildus finansējums piemaksām, prēmijām sakarā ar skolu tīklu sakārtošanu</t>
  </si>
  <si>
    <t>No projekta Karjeras atbalsts vispārējās un profesionālās izglītības iestādēs uz Madlienu</t>
  </si>
  <si>
    <t>Kompensācijas pabalsts bijušam deputātam J. Korsakai</t>
  </si>
  <si>
    <t>Iesniegums EUR 3 570 apsardzes sistēmas ierīkošanai</t>
  </si>
  <si>
    <t>Iesniegums  EUR 3 000 biedrības "Lazdukalni 2000" iesniegums skatu torņa trepju un margu  nomaiņai</t>
  </si>
  <si>
    <t>EUR 25 000 Ziemassvētku egles rotāšanai</t>
  </si>
  <si>
    <t>Pārcelts no veselības veicināšanas budžeta</t>
  </si>
  <si>
    <t>Pārcelts uz sporta centra budžetu</t>
  </si>
  <si>
    <t>Ogres 1. vidusskolas infrastruktūras un materiāltehniskās bāzes uzlabošana Nr.A2/1/16/251 trančes Nr.P-162/2016</t>
  </si>
  <si>
    <t>Ogres 1. vidusskolas infrastruktūras un materiāltehniskās bāzes uzlabošana NR. A2/1/17/56  trančers Nr.P-13/2017</t>
  </si>
  <si>
    <t xml:space="preserve">8.1.2.SAM "Uzlabot vispārējās izglītības iestāžu mācību vidi Ogres novadā" </t>
  </si>
  <si>
    <t>Dziesmu svētku transporta izdevumu kompensācija</t>
  </si>
  <si>
    <t>EUR 262 uz Ķeipenes pagastu - skolēnu darbs vasarā</t>
  </si>
  <si>
    <t>EUR 1751 pārcelts uz Madlienas pagastu</t>
  </si>
  <si>
    <r>
      <t xml:space="preserve">Informācija par Ogres novada pamatbudžeta transferta maksājumiem, kādiem jābūt </t>
    </r>
    <r>
      <rPr>
        <b/>
        <sz val="10"/>
        <rFont val="Arial"/>
        <family val="2"/>
      </rPr>
      <t>plānotajā 2018.gada oktobra budžeta grozījumos</t>
    </r>
    <r>
      <rPr>
        <sz val="10"/>
        <rFont val="Arial"/>
        <family val="0"/>
      </rPr>
      <t>.</t>
    </r>
  </si>
  <si>
    <t>EUR 37 036 papildus izdevumi sakarā ar plānoto darbu iepirkumu. Iepirkumā netika iekļauti sekojoši darbi: fasādes apgaismojuma izveide, apsardzes sistēmas uzstādīšana, Tūrisma informācijas centra telpu remonts, kā arī kafejnīcas interjera projekta izstrāde EUR 49 980</t>
  </si>
  <si>
    <t>Jauns projekts, tā realizācija 2018.-2019.g., kopējā summa EUR 27 933</t>
  </si>
  <si>
    <t>Jauns projekts, tā realizācija 2018.-2019.g., kopējā summa EUR 31 905</t>
  </si>
  <si>
    <t>EUR 1 353 izdevumi, lai nodotu objektu ekspluatācijā</t>
  </si>
  <si>
    <t>Represēto personu finansiālā pabalsta palielināšanai 18. novembra svētkos (EUR 100 uz vienu personu)</t>
  </si>
  <si>
    <t>Suntažu vidusskolas iesniegums par papildus finansējumu pirmskolas izglītības nodrošināšanai Lauberes filiālē (pedagogu atalgojumam)</t>
  </si>
  <si>
    <t>Ogres novada pašvaldības domes</t>
  </si>
  <si>
    <t>18.10.2018. saistošajiem noteikumiem Nr.23/2018</t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</si>
</sst>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&quot;Ls&quot;\ * #,##0.00_-;\-&quot;Ls&quot;\ * #,##0.00_-;_-&quot;Ls&quot;\ * &quot;-&quot;??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#,##0\ &quot;Ls&quot;;\-#,##0\ &quot;Ls&quot;"/>
    <numFmt numFmtId="193" formatCode="#,##0\ &quot;Ls&quot;;[Red]\-#,##0\ &quot;Ls&quot;"/>
    <numFmt numFmtId="194" formatCode="#,##0.00\ &quot;Ls&quot;;\-#,##0.00\ &quot;Ls&quot;"/>
    <numFmt numFmtId="195" formatCode="#,##0.00\ &quot;Ls&quot;;[Red]\-#,##0.00\ &quot;Ls&quot;"/>
    <numFmt numFmtId="196" formatCode="_-* #,##0\ &quot;Ls&quot;_-;\-* #,##0\ &quot;Ls&quot;_-;_-* &quot;-&quot;\ &quot;Ls&quot;_-;_-@_-"/>
    <numFmt numFmtId="197" formatCode="_-* #,##0\ _L_s_-;\-* #,##0\ _L_s_-;_-* &quot;-&quot;\ _L_s_-;_-@_-"/>
    <numFmt numFmtId="198" formatCode="_-* #,##0.00\ &quot;Ls&quot;_-;\-* #,##0.00\ &quot;Ls&quot;_-;_-* &quot;-&quot;??\ &quot;Ls&quot;_-;_-@_-"/>
    <numFmt numFmtId="199" formatCode="_-* #,##0.00\ _L_s_-;\-* #,##0.00\ _L_s_-;_-* &quot;-&quot;??\ _L_s_-;_-@_-"/>
    <numFmt numFmtId="200" formatCode="0.0"/>
    <numFmt numFmtId="201" formatCode="0.0000"/>
    <numFmt numFmtId="202" formatCode="0.000"/>
    <numFmt numFmtId="203" formatCode="0.0%"/>
    <numFmt numFmtId="204" formatCode="0.000000000"/>
    <numFmt numFmtId="205" formatCode="0.0000000000"/>
    <numFmt numFmtId="206" formatCode="0.00000000"/>
    <numFmt numFmtId="207" formatCode="0.0000000"/>
    <numFmt numFmtId="208" formatCode="0.000000"/>
    <numFmt numFmtId="209" formatCode="0.00000"/>
    <numFmt numFmtId="210" formatCode="#,##0.0"/>
    <numFmt numFmtId="211" formatCode="_-* #,##0.0_-;\-* #,##0.0_-;_-* &quot;-&quot;??_-;_-@_-"/>
    <numFmt numFmtId="212" formatCode="_-* #,##0_-;\-* #,##0_-;_-* &quot;-&quot;??_-;_-@_-"/>
    <numFmt numFmtId="213" formatCode="_-&quot;Ls&quot;\ * #,##0.0_-;\-&quot;Ls&quot;\ * #,##0.0_-;_-&quot;Ls&quot;\ * &quot;-&quot;??_-;_-@_-"/>
    <numFmt numFmtId="214" formatCode="_-&quot;Ls&quot;\ * #,##0_-;\-&quot;Ls&quot;\ * #,##0_-;_-&quot;Ls&quot;\ * &quot;-&quot;??_-;_-@_-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0."/>
    <numFmt numFmtId="219" formatCode="000000"/>
    <numFmt numFmtId="220" formatCode="dd/mm/yy"/>
    <numFmt numFmtId="221" formatCode="[$€-2]\ #,##0.00_);[Red]\([$€-2]\ #,##0.00\)"/>
    <numFmt numFmtId="222" formatCode="#,##0.000"/>
    <numFmt numFmtId="223" formatCode="&quot;Jā&quot;;&quot;Jā&quot;;&quot;Nē&quot;"/>
    <numFmt numFmtId="224" formatCode="&quot;Patiess&quot;;&quot;Patiess&quot;;&quot;Aplams&quot;"/>
    <numFmt numFmtId="225" formatCode="&quot;Ieslēgts&quot;;&quot;Ieslēgts&quot;;&quot;Izslēgts&quot;"/>
    <numFmt numFmtId="226" formatCode="[$€-2]\ #\ ##,000_);[Red]\([$€-2]\ #\ ##,000\)"/>
  </numFmts>
  <fonts count="59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name val="Times New Roman"/>
      <family val="1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10"/>
      <color indexed="10"/>
      <name val="Arial"/>
      <family val="2"/>
    </font>
    <font>
      <sz val="11"/>
      <color indexed="10"/>
      <name val="Times New Roman"/>
      <family val="1"/>
    </font>
    <font>
      <sz val="10"/>
      <color indexed="10"/>
      <name val="Arial"/>
      <family val="2"/>
    </font>
    <font>
      <sz val="16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sz val="11"/>
      <color indexed="10"/>
      <name val="Times New Roman"/>
      <family val="1"/>
    </font>
    <font>
      <sz val="11"/>
      <color indexed="8"/>
      <name val="Arial"/>
      <family val="2"/>
    </font>
    <font>
      <sz val="9"/>
      <name val="Arial"/>
      <family val="2"/>
    </font>
    <font>
      <sz val="11"/>
      <color indexed="60"/>
      <name val="Times New Roman"/>
      <family val="1"/>
    </font>
    <font>
      <b/>
      <sz val="11"/>
      <color indexed="6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1"/>
      <name val="Times New Roman Baltic"/>
      <family val="1"/>
    </font>
    <font>
      <i/>
      <sz val="11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0"/>
      <color indexed="10"/>
      <name val="Times New Roman"/>
      <family val="1"/>
    </font>
    <font>
      <sz val="10"/>
      <color rgb="FFFF0000"/>
      <name val="Arial"/>
      <family val="2"/>
    </font>
    <font>
      <sz val="11"/>
      <color rgb="FFFF0000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sz val="10"/>
      <color rgb="FFFF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19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25" fillId="20" borderId="8" applyNumberFormat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56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Alignment="1">
      <alignment horizontal="center" wrapText="1"/>
    </xf>
    <xf numFmtId="0" fontId="6" fillId="0" borderId="0" xfId="0" applyFont="1" applyAlignment="1">
      <alignment horizontal="centerContinuous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0" fillId="0" borderId="12" xfId="0" applyFont="1" applyBorder="1" applyAlignment="1">
      <alignment/>
    </xf>
    <xf numFmtId="1" fontId="4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1" fillId="0" borderId="13" xfId="0" applyFont="1" applyBorder="1" applyAlignment="1">
      <alignment/>
    </xf>
    <xf numFmtId="193" fontId="0" fillId="0" borderId="0" xfId="0" applyNumberFormat="1" applyAlignment="1">
      <alignment/>
    </xf>
    <xf numFmtId="3" fontId="9" fillId="0" borderId="0" xfId="0" applyNumberFormat="1" applyFont="1" applyAlignment="1" applyProtection="1">
      <alignment wrapText="1"/>
      <protection/>
    </xf>
    <xf numFmtId="3" fontId="9" fillId="0" borderId="0" xfId="0" applyNumberFormat="1" applyFont="1" applyAlignment="1" applyProtection="1">
      <alignment/>
      <protection/>
    </xf>
    <xf numFmtId="3" fontId="9" fillId="0" borderId="0" xfId="0" applyNumberFormat="1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left" wrapText="1"/>
      <protection/>
    </xf>
    <xf numFmtId="0" fontId="10" fillId="0" borderId="0" xfId="0" applyFont="1" applyBorder="1" applyAlignment="1" applyProtection="1">
      <alignment/>
      <protection/>
    </xf>
    <xf numFmtId="3" fontId="10" fillId="0" borderId="0" xfId="0" applyNumberFormat="1" applyFont="1" applyBorder="1" applyAlignment="1" applyProtection="1">
      <alignment/>
      <protection/>
    </xf>
    <xf numFmtId="0" fontId="9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horizontal="right"/>
    </xf>
    <xf numFmtId="0" fontId="0" fillId="0" borderId="14" xfId="0" applyFont="1" applyFill="1" applyBorder="1" applyAlignment="1">
      <alignment/>
    </xf>
    <xf numFmtId="3" fontId="9" fillId="0" borderId="0" xfId="0" applyNumberFormat="1" applyFont="1" applyFill="1" applyBorder="1" applyAlignment="1" applyProtection="1">
      <alignment horizontal="right" wrapText="1"/>
      <protection/>
    </xf>
    <xf numFmtId="3" fontId="9" fillId="0" borderId="0" xfId="0" applyNumberFormat="1" applyFont="1" applyBorder="1" applyAlignment="1" applyProtection="1">
      <alignment horizontal="right"/>
      <protection/>
    </xf>
    <xf numFmtId="0" fontId="0" fillId="0" borderId="0" xfId="0" applyFont="1" applyFill="1" applyBorder="1" applyAlignment="1">
      <alignment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wrapText="1"/>
    </xf>
    <xf numFmtId="0" fontId="9" fillId="0" borderId="0" xfId="0" applyFont="1" applyFill="1" applyBorder="1" applyAlignment="1" applyProtection="1">
      <alignment horizontal="left" wrapText="1"/>
      <protection/>
    </xf>
    <xf numFmtId="0" fontId="9" fillId="0" borderId="0" xfId="0" applyFont="1" applyFill="1" applyBorder="1" applyAlignment="1" applyProtection="1">
      <alignment/>
      <protection/>
    </xf>
    <xf numFmtId="0" fontId="2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 wrapText="1"/>
    </xf>
    <xf numFmtId="9" fontId="0" fillId="0" borderId="14" xfId="0" applyNumberFormat="1" applyFont="1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4" xfId="0" applyFill="1" applyBorder="1" applyAlignment="1">
      <alignment wrapText="1"/>
    </xf>
    <xf numFmtId="3" fontId="9" fillId="0" borderId="14" xfId="0" applyNumberFormat="1" applyFont="1" applyFill="1" applyBorder="1" applyAlignment="1">
      <alignment/>
    </xf>
    <xf numFmtId="1" fontId="1" fillId="0" borderId="14" xfId="0" applyNumberFormat="1" applyFont="1" applyBorder="1" applyAlignment="1">
      <alignment/>
    </xf>
    <xf numFmtId="0" fontId="1" fillId="0" borderId="14" xfId="0" applyFont="1" applyBorder="1" applyAlignment="1">
      <alignment/>
    </xf>
    <xf numFmtId="3" fontId="2" fillId="0" borderId="14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0" fontId="0" fillId="0" borderId="14" xfId="0" applyFont="1" applyBorder="1" applyAlignment="1">
      <alignment/>
    </xf>
    <xf numFmtId="0" fontId="33" fillId="0" borderId="14" xfId="0" applyFont="1" applyBorder="1" applyAlignment="1">
      <alignment/>
    </xf>
    <xf numFmtId="0" fontId="1" fillId="0" borderId="14" xfId="0" applyFont="1" applyFill="1" applyBorder="1" applyAlignment="1">
      <alignment/>
    </xf>
    <xf numFmtId="3" fontId="0" fillId="0" borderId="14" xfId="0" applyNumberFormat="1" applyBorder="1" applyAlignment="1">
      <alignment/>
    </xf>
    <xf numFmtId="3" fontId="9" fillId="0" borderId="0" xfId="0" applyNumberFormat="1" applyFont="1" applyFill="1" applyBorder="1" applyAlignment="1">
      <alignment/>
    </xf>
    <xf numFmtId="3" fontId="9" fillId="0" borderId="14" xfId="0" applyNumberFormat="1" applyFont="1" applyFill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/>
    </xf>
    <xf numFmtId="0" fontId="1" fillId="0" borderId="13" xfId="0" applyFont="1" applyBorder="1" applyAlignment="1">
      <alignment wrapText="1"/>
    </xf>
    <xf numFmtId="3" fontId="10" fillId="0" borderId="14" xfId="0" applyNumberFormat="1" applyFont="1" applyFill="1" applyBorder="1" applyAlignment="1">
      <alignment/>
    </xf>
    <xf numFmtId="3" fontId="10" fillId="0" borderId="14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0" fontId="35" fillId="0" borderId="0" xfId="0" applyFont="1" applyFill="1" applyBorder="1" applyAlignment="1">
      <alignment horizontal="center" wrapText="1"/>
    </xf>
    <xf numFmtId="1" fontId="4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 wrapText="1"/>
    </xf>
    <xf numFmtId="1" fontId="1" fillId="0" borderId="14" xfId="0" applyNumberFormat="1" applyFont="1" applyFill="1" applyBorder="1" applyAlignment="1">
      <alignment/>
    </xf>
    <xf numFmtId="0" fontId="0" fillId="0" borderId="15" xfId="0" applyFont="1" applyBorder="1" applyAlignment="1">
      <alignment/>
    </xf>
    <xf numFmtId="1" fontId="4" fillId="0" borderId="16" xfId="0" applyNumberFormat="1" applyFont="1" applyBorder="1" applyAlignment="1">
      <alignment/>
    </xf>
    <xf numFmtId="0" fontId="0" fillId="0" borderId="10" xfId="0" applyFont="1" applyBorder="1" applyAlignment="1">
      <alignment/>
    </xf>
    <xf numFmtId="1" fontId="5" fillId="0" borderId="11" xfId="0" applyNumberFormat="1" applyFont="1" applyBorder="1" applyAlignment="1">
      <alignment/>
    </xf>
    <xf numFmtId="0" fontId="4" fillId="0" borderId="0" xfId="0" applyFont="1" applyBorder="1" applyAlignment="1">
      <alignment wrapText="1"/>
    </xf>
    <xf numFmtId="3" fontId="2" fillId="0" borderId="0" xfId="0" applyNumberFormat="1" applyFont="1" applyAlignment="1">
      <alignment/>
    </xf>
    <xf numFmtId="202" fontId="0" fillId="0" borderId="0" xfId="0" applyNumberFormat="1" applyAlignment="1">
      <alignment/>
    </xf>
    <xf numFmtId="0" fontId="9" fillId="0" borderId="0" xfId="0" applyFont="1" applyBorder="1" applyAlignment="1">
      <alignment horizontal="left" wrapText="1"/>
    </xf>
    <xf numFmtId="3" fontId="30" fillId="0" borderId="0" xfId="0" applyNumberFormat="1" applyFont="1" applyFill="1" applyAlignment="1">
      <alignment/>
    </xf>
    <xf numFmtId="1" fontId="5" fillId="0" borderId="17" xfId="0" applyNumberFormat="1" applyFont="1" applyBorder="1" applyAlignment="1">
      <alignment/>
    </xf>
    <xf numFmtId="3" fontId="34" fillId="0" borderId="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30" fillId="0" borderId="14" xfId="0" applyFont="1" applyBorder="1" applyAlignment="1">
      <alignment/>
    </xf>
    <xf numFmtId="0" fontId="9" fillId="0" borderId="14" xfId="0" applyFont="1" applyFill="1" applyBorder="1" applyAlignment="1" applyProtection="1">
      <alignment horizontal="left" wrapText="1"/>
      <protection/>
    </xf>
    <xf numFmtId="0" fontId="9" fillId="0" borderId="14" xfId="0" applyFont="1" applyFill="1" applyBorder="1" applyAlignment="1" applyProtection="1">
      <alignment/>
      <protection/>
    </xf>
    <xf numFmtId="0" fontId="34" fillId="0" borderId="0" xfId="0" applyFont="1" applyFill="1" applyBorder="1" applyAlignment="1" applyProtection="1">
      <alignment/>
      <protection/>
    </xf>
    <xf numFmtId="3" fontId="2" fillId="0" borderId="0" xfId="0" applyNumberFormat="1" applyFont="1" applyBorder="1" applyAlignment="1">
      <alignment/>
    </xf>
    <xf numFmtId="3" fontId="9" fillId="0" borderId="0" xfId="0" applyNumberFormat="1" applyFont="1" applyBorder="1" applyAlignment="1" applyProtection="1">
      <alignment horizontal="right" wrapText="1"/>
      <protection/>
    </xf>
    <xf numFmtId="0" fontId="0" fillId="0" borderId="14" xfId="0" applyFill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37" fillId="0" borderId="0" xfId="0" applyFont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center"/>
      <protection/>
    </xf>
    <xf numFmtId="0" fontId="9" fillId="0" borderId="0" xfId="0" applyFont="1" applyAlignment="1" applyProtection="1">
      <alignment wrapText="1"/>
      <protection/>
    </xf>
    <xf numFmtId="0" fontId="9" fillId="0" borderId="0" xfId="0" applyFont="1" applyAlignment="1" applyProtection="1">
      <alignment horizontal="center" vertical="top" wrapText="1"/>
      <protection/>
    </xf>
    <xf numFmtId="0" fontId="30" fillId="0" borderId="0" xfId="0" applyFont="1" applyAlignment="1">
      <alignment horizontal="center"/>
    </xf>
    <xf numFmtId="0" fontId="9" fillId="0" borderId="0" xfId="0" applyFont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0" fontId="9" fillId="0" borderId="0" xfId="0" applyFont="1" applyFill="1" applyAlignment="1">
      <alignment/>
    </xf>
    <xf numFmtId="3" fontId="9" fillId="0" borderId="0" xfId="0" applyNumberFormat="1" applyFont="1" applyFill="1" applyAlignment="1">
      <alignment wrapText="1"/>
    </xf>
    <xf numFmtId="1" fontId="9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left" wrapText="1"/>
    </xf>
    <xf numFmtId="0" fontId="9" fillId="0" borderId="0" xfId="0" applyFont="1" applyFill="1" applyBorder="1" applyAlignment="1">
      <alignment/>
    </xf>
    <xf numFmtId="0" fontId="30" fillId="0" borderId="10" xfId="0" applyFont="1" applyFill="1" applyBorder="1" applyAlignment="1">
      <alignment horizontal="center" vertical="center"/>
    </xf>
    <xf numFmtId="0" fontId="30" fillId="0" borderId="13" xfId="0" applyFont="1" applyFill="1" applyBorder="1" applyAlignment="1" applyProtection="1">
      <alignment horizontal="center" vertical="center" wrapText="1"/>
      <protection/>
    </xf>
    <xf numFmtId="0" fontId="9" fillId="0" borderId="13" xfId="0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>
      <alignment horizontal="right"/>
    </xf>
    <xf numFmtId="0" fontId="10" fillId="0" borderId="13" xfId="0" applyFont="1" applyFill="1" applyBorder="1" applyAlignment="1">
      <alignment wrapText="1"/>
    </xf>
    <xf numFmtId="3" fontId="10" fillId="0" borderId="13" xfId="0" applyNumberFormat="1" applyFont="1" applyFill="1" applyBorder="1" applyAlignment="1">
      <alignment/>
    </xf>
    <xf numFmtId="3" fontId="9" fillId="0" borderId="0" xfId="0" applyNumberFormat="1" applyFont="1" applyFill="1" applyAlignment="1">
      <alignment/>
    </xf>
    <xf numFmtId="0" fontId="9" fillId="0" borderId="12" xfId="0" applyFont="1" applyFill="1" applyBorder="1" applyAlignment="1">
      <alignment horizontal="left"/>
    </xf>
    <xf numFmtId="0" fontId="9" fillId="0" borderId="18" xfId="0" applyFont="1" applyFill="1" applyBorder="1" applyAlignment="1">
      <alignment wrapText="1"/>
    </xf>
    <xf numFmtId="3" fontId="9" fillId="0" borderId="18" xfId="0" applyNumberFormat="1" applyFont="1" applyFill="1" applyBorder="1" applyAlignment="1">
      <alignment/>
    </xf>
    <xf numFmtId="0" fontId="9" fillId="0" borderId="19" xfId="0" applyFont="1" applyFill="1" applyBorder="1" applyAlignment="1">
      <alignment horizontal="right"/>
    </xf>
    <xf numFmtId="0" fontId="9" fillId="0" borderId="14" xfId="0" applyFont="1" applyFill="1" applyBorder="1" applyAlignment="1">
      <alignment wrapText="1"/>
    </xf>
    <xf numFmtId="3" fontId="9" fillId="0" borderId="20" xfId="0" applyNumberFormat="1" applyFont="1" applyFill="1" applyBorder="1" applyAlignment="1">
      <alignment/>
    </xf>
    <xf numFmtId="3" fontId="9" fillId="0" borderId="21" xfId="0" applyNumberFormat="1" applyFont="1" applyFill="1" applyBorder="1" applyAlignment="1">
      <alignment/>
    </xf>
    <xf numFmtId="210" fontId="9" fillId="0" borderId="14" xfId="0" applyNumberFormat="1" applyFont="1" applyFill="1" applyBorder="1" applyAlignment="1">
      <alignment/>
    </xf>
    <xf numFmtId="0" fontId="9" fillId="0" borderId="19" xfId="0" applyFont="1" applyFill="1" applyBorder="1" applyAlignment="1">
      <alignment horizontal="left"/>
    </xf>
    <xf numFmtId="1" fontId="9" fillId="0" borderId="21" xfId="0" applyNumberFormat="1" applyFont="1" applyFill="1" applyBorder="1" applyAlignment="1">
      <alignment/>
    </xf>
    <xf numFmtId="1" fontId="9" fillId="0" borderId="14" xfId="0" applyNumberFormat="1" applyFont="1" applyFill="1" applyBorder="1" applyAlignment="1">
      <alignment/>
    </xf>
    <xf numFmtId="0" fontId="9" fillId="0" borderId="15" xfId="0" applyFont="1" applyFill="1" applyBorder="1" applyAlignment="1">
      <alignment horizontal="left"/>
    </xf>
    <xf numFmtId="0" fontId="9" fillId="0" borderId="16" xfId="0" applyFont="1" applyFill="1" applyBorder="1" applyAlignment="1">
      <alignment wrapText="1"/>
    </xf>
    <xf numFmtId="3" fontId="9" fillId="0" borderId="16" xfId="0" applyNumberFormat="1" applyFont="1" applyFill="1" applyBorder="1" applyAlignment="1">
      <alignment/>
    </xf>
    <xf numFmtId="3" fontId="9" fillId="0" borderId="22" xfId="0" applyNumberFormat="1" applyFont="1" applyFill="1" applyBorder="1" applyAlignment="1">
      <alignment/>
    </xf>
    <xf numFmtId="200" fontId="9" fillId="0" borderId="16" xfId="0" applyNumberFormat="1" applyFont="1" applyFill="1" applyBorder="1" applyAlignment="1">
      <alignment/>
    </xf>
    <xf numFmtId="0" fontId="9" fillId="0" borderId="16" xfId="0" applyFont="1" applyFill="1" applyBorder="1" applyAlignment="1">
      <alignment/>
    </xf>
    <xf numFmtId="3" fontId="10" fillId="0" borderId="23" xfId="0" applyNumberFormat="1" applyFont="1" applyFill="1" applyBorder="1" applyAlignment="1">
      <alignment/>
    </xf>
    <xf numFmtId="3" fontId="9" fillId="0" borderId="24" xfId="0" applyNumberFormat="1" applyFont="1" applyFill="1" applyBorder="1" applyAlignment="1">
      <alignment/>
    </xf>
    <xf numFmtId="3" fontId="10" fillId="0" borderId="18" xfId="0" applyNumberFormat="1" applyFont="1" applyFill="1" applyBorder="1" applyAlignment="1">
      <alignment/>
    </xf>
    <xf numFmtId="1" fontId="9" fillId="0" borderId="18" xfId="0" applyNumberFormat="1" applyFont="1" applyFill="1" applyBorder="1" applyAlignment="1">
      <alignment/>
    </xf>
    <xf numFmtId="0" fontId="9" fillId="0" borderId="18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200" fontId="9" fillId="0" borderId="14" xfId="0" applyNumberFormat="1" applyFont="1" applyFill="1" applyBorder="1" applyAlignment="1">
      <alignment/>
    </xf>
    <xf numFmtId="3" fontId="9" fillId="0" borderId="25" xfId="0" applyNumberFormat="1" applyFont="1" applyFill="1" applyBorder="1" applyAlignment="1">
      <alignment/>
    </xf>
    <xf numFmtId="0" fontId="9" fillId="0" borderId="20" xfId="0" applyFont="1" applyFill="1" applyBorder="1" applyAlignment="1">
      <alignment/>
    </xf>
    <xf numFmtId="0" fontId="10" fillId="0" borderId="26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left"/>
    </xf>
    <xf numFmtId="0" fontId="9" fillId="0" borderId="27" xfId="0" applyFont="1" applyFill="1" applyBorder="1" applyAlignment="1">
      <alignment horizontal="left"/>
    </xf>
    <xf numFmtId="0" fontId="9" fillId="0" borderId="28" xfId="0" applyFont="1" applyFill="1" applyBorder="1" applyAlignment="1">
      <alignment wrapText="1"/>
    </xf>
    <xf numFmtId="3" fontId="9" fillId="0" borderId="29" xfId="0" applyNumberFormat="1" applyFont="1" applyFill="1" applyBorder="1" applyAlignment="1">
      <alignment/>
    </xf>
    <xf numFmtId="0" fontId="9" fillId="0" borderId="12" xfId="0" applyFont="1" applyFill="1" applyBorder="1" applyAlignment="1">
      <alignment horizontal="right"/>
    </xf>
    <xf numFmtId="200" fontId="9" fillId="0" borderId="18" xfId="0" applyNumberFormat="1" applyFont="1" applyFill="1" applyBorder="1" applyAlignment="1">
      <alignment/>
    </xf>
    <xf numFmtId="0" fontId="10" fillId="0" borderId="19" xfId="0" applyFont="1" applyFill="1" applyBorder="1" applyAlignment="1">
      <alignment horizontal="left"/>
    </xf>
    <xf numFmtId="0" fontId="10" fillId="0" borderId="14" xfId="0" applyFont="1" applyFill="1" applyBorder="1" applyAlignment="1">
      <alignment wrapText="1"/>
    </xf>
    <xf numFmtId="3" fontId="9" fillId="0" borderId="30" xfId="0" applyNumberFormat="1" applyFont="1" applyFill="1" applyBorder="1" applyAlignment="1">
      <alignment/>
    </xf>
    <xf numFmtId="3" fontId="9" fillId="0" borderId="31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right"/>
    </xf>
    <xf numFmtId="0" fontId="10" fillId="0" borderId="13" xfId="0" applyFont="1" applyFill="1" applyBorder="1" applyAlignment="1">
      <alignment horizontal="right" wrapText="1"/>
    </xf>
    <xf numFmtId="3" fontId="10" fillId="0" borderId="13" xfId="0" applyNumberFormat="1" applyFont="1" applyFill="1" applyBorder="1" applyAlignment="1">
      <alignment horizontal="center"/>
    </xf>
    <xf numFmtId="0" fontId="9" fillId="0" borderId="18" xfId="0" applyFont="1" applyFill="1" applyBorder="1" applyAlignment="1" applyProtection="1">
      <alignment/>
      <protection/>
    </xf>
    <xf numFmtId="0" fontId="9" fillId="0" borderId="18" xfId="0" applyFont="1" applyFill="1" applyBorder="1" applyAlignment="1" applyProtection="1">
      <alignment horizontal="left" wrapText="1"/>
      <protection/>
    </xf>
    <xf numFmtId="0" fontId="9" fillId="0" borderId="24" xfId="0" applyFont="1" applyFill="1" applyBorder="1" applyAlignment="1">
      <alignment/>
    </xf>
    <xf numFmtId="0" fontId="10" fillId="0" borderId="14" xfId="0" applyFont="1" applyFill="1" applyBorder="1" applyAlignment="1" applyProtection="1">
      <alignment/>
      <protection/>
    </xf>
    <xf numFmtId="0" fontId="10" fillId="0" borderId="14" xfId="0" applyFont="1" applyFill="1" applyBorder="1" applyAlignment="1" applyProtection="1">
      <alignment horizontal="left" wrapText="1"/>
      <protection/>
    </xf>
    <xf numFmtId="3" fontId="10" fillId="0" borderId="14" xfId="0" applyNumberFormat="1" applyFont="1" applyFill="1" applyBorder="1" applyAlignment="1" applyProtection="1">
      <alignment horizontal="center"/>
      <protection/>
    </xf>
    <xf numFmtId="3" fontId="10" fillId="0" borderId="14" xfId="0" applyNumberFormat="1" applyFont="1" applyFill="1" applyBorder="1" applyAlignment="1" applyProtection="1">
      <alignment/>
      <protection/>
    </xf>
    <xf numFmtId="3" fontId="10" fillId="0" borderId="20" xfId="0" applyNumberFormat="1" applyFont="1" applyFill="1" applyBorder="1" applyAlignment="1" applyProtection="1">
      <alignment/>
      <protection/>
    </xf>
    <xf numFmtId="3" fontId="9" fillId="0" borderId="14" xfId="0" applyNumberFormat="1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/>
      <protection/>
    </xf>
    <xf numFmtId="3" fontId="10" fillId="0" borderId="0" xfId="0" applyNumberFormat="1" applyFont="1" applyFill="1" applyBorder="1" applyAlignment="1" applyProtection="1">
      <alignment horizontal="center"/>
      <protection/>
    </xf>
    <xf numFmtId="3" fontId="10" fillId="0" borderId="0" xfId="0" applyNumberFormat="1" applyFont="1" applyFill="1" applyBorder="1" applyAlignment="1" applyProtection="1">
      <alignment/>
      <protection/>
    </xf>
    <xf numFmtId="210" fontId="10" fillId="0" borderId="0" xfId="0" applyNumberFormat="1" applyFont="1" applyFill="1" applyBorder="1" applyAlignment="1">
      <alignment/>
    </xf>
    <xf numFmtId="0" fontId="9" fillId="0" borderId="0" xfId="0" applyFont="1" applyFill="1" applyAlignment="1">
      <alignment wrapText="1"/>
    </xf>
    <xf numFmtId="0" fontId="10" fillId="0" borderId="0" xfId="0" applyFont="1" applyFill="1" applyBorder="1" applyAlignment="1">
      <alignment horizontal="right"/>
    </xf>
    <xf numFmtId="3" fontId="10" fillId="0" borderId="0" xfId="0" applyNumberFormat="1" applyFont="1" applyFill="1" applyBorder="1" applyAlignment="1">
      <alignment wrapText="1"/>
    </xf>
    <xf numFmtId="49" fontId="10" fillId="0" borderId="10" xfId="0" applyNumberFormat="1" applyFont="1" applyFill="1" applyBorder="1" applyAlignment="1">
      <alignment/>
    </xf>
    <xf numFmtId="49" fontId="10" fillId="0" borderId="12" xfId="0" applyNumberFormat="1" applyFont="1" applyFill="1" applyBorder="1" applyAlignment="1">
      <alignment horizontal="right"/>
    </xf>
    <xf numFmtId="0" fontId="10" fillId="0" borderId="18" xfId="0" applyFont="1" applyFill="1" applyBorder="1" applyAlignment="1">
      <alignment wrapText="1"/>
    </xf>
    <xf numFmtId="3" fontId="10" fillId="0" borderId="24" xfId="0" applyNumberFormat="1" applyFont="1" applyFill="1" applyBorder="1" applyAlignment="1">
      <alignment/>
    </xf>
    <xf numFmtId="3" fontId="10" fillId="0" borderId="32" xfId="0" applyNumberFormat="1" applyFont="1" applyFill="1" applyBorder="1" applyAlignment="1">
      <alignment/>
    </xf>
    <xf numFmtId="49" fontId="10" fillId="0" borderId="19" xfId="0" applyNumberFormat="1" applyFont="1" applyFill="1" applyBorder="1" applyAlignment="1">
      <alignment horizontal="right"/>
    </xf>
    <xf numFmtId="3" fontId="10" fillId="0" borderId="20" xfId="0" applyNumberFormat="1" applyFont="1" applyFill="1" applyBorder="1" applyAlignment="1">
      <alignment/>
    </xf>
    <xf numFmtId="49" fontId="9" fillId="0" borderId="19" xfId="0" applyNumberFormat="1" applyFont="1" applyFill="1" applyBorder="1" applyAlignment="1">
      <alignment horizontal="right"/>
    </xf>
    <xf numFmtId="0" fontId="9" fillId="0" borderId="21" xfId="0" applyFont="1" applyFill="1" applyBorder="1" applyAlignment="1">
      <alignment/>
    </xf>
    <xf numFmtId="0" fontId="10" fillId="0" borderId="14" xfId="0" applyFont="1" applyFill="1" applyBorder="1" applyAlignment="1">
      <alignment horizontal="left" wrapText="1"/>
    </xf>
    <xf numFmtId="0" fontId="9" fillId="0" borderId="25" xfId="0" applyFont="1" applyFill="1" applyBorder="1" applyAlignment="1">
      <alignment/>
    </xf>
    <xf numFmtId="49" fontId="9" fillId="0" borderId="19" xfId="0" applyNumberFormat="1" applyFont="1" applyFill="1" applyBorder="1" applyAlignment="1">
      <alignment horizontal="right" wrapText="1"/>
    </xf>
    <xf numFmtId="49" fontId="10" fillId="0" borderId="15" xfId="0" applyNumberFormat="1" applyFont="1" applyFill="1" applyBorder="1" applyAlignment="1">
      <alignment horizontal="right"/>
    </xf>
    <xf numFmtId="0" fontId="10" fillId="0" borderId="16" xfId="0" applyFont="1" applyFill="1" applyBorder="1" applyAlignment="1">
      <alignment wrapText="1"/>
    </xf>
    <xf numFmtId="3" fontId="10" fillId="0" borderId="16" xfId="0" applyNumberFormat="1" applyFont="1" applyFill="1" applyBorder="1" applyAlignment="1">
      <alignment/>
    </xf>
    <xf numFmtId="200" fontId="10" fillId="0" borderId="16" xfId="0" applyNumberFormat="1" applyFont="1" applyFill="1" applyBorder="1" applyAlignment="1">
      <alignment/>
    </xf>
    <xf numFmtId="1" fontId="10" fillId="0" borderId="16" xfId="0" applyNumberFormat="1" applyFont="1" applyFill="1" applyBorder="1" applyAlignment="1">
      <alignment/>
    </xf>
    <xf numFmtId="0" fontId="10" fillId="0" borderId="16" xfId="0" applyFont="1" applyFill="1" applyBorder="1" applyAlignment="1">
      <alignment/>
    </xf>
    <xf numFmtId="49" fontId="10" fillId="0" borderId="10" xfId="0" applyNumberFormat="1" applyFont="1" applyFill="1" applyBorder="1" applyAlignment="1">
      <alignment horizontal="left"/>
    </xf>
    <xf numFmtId="200" fontId="9" fillId="0" borderId="30" xfId="0" applyNumberFormat="1" applyFont="1" applyFill="1" applyBorder="1" applyAlignment="1">
      <alignment/>
    </xf>
    <xf numFmtId="0" fontId="9" fillId="0" borderId="30" xfId="0" applyFont="1" applyFill="1" applyBorder="1" applyAlignment="1">
      <alignment/>
    </xf>
    <xf numFmtId="0" fontId="10" fillId="0" borderId="18" xfId="0" applyFont="1" applyFill="1" applyBorder="1" applyAlignment="1">
      <alignment/>
    </xf>
    <xf numFmtId="49" fontId="9" fillId="0" borderId="12" xfId="0" applyNumberFormat="1" applyFont="1" applyFill="1" applyBorder="1" applyAlignment="1">
      <alignment horizontal="right"/>
    </xf>
    <xf numFmtId="0" fontId="9" fillId="0" borderId="18" xfId="0" applyFont="1" applyFill="1" applyBorder="1" applyAlignment="1">
      <alignment horizontal="left" wrapText="1"/>
    </xf>
    <xf numFmtId="0" fontId="9" fillId="0" borderId="14" xfId="0" applyFont="1" applyFill="1" applyBorder="1" applyAlignment="1">
      <alignment horizontal="left" wrapText="1"/>
    </xf>
    <xf numFmtId="0" fontId="10" fillId="0" borderId="13" xfId="0" applyFont="1" applyFill="1" applyBorder="1" applyAlignment="1">
      <alignment horizontal="left" wrapText="1"/>
    </xf>
    <xf numFmtId="0" fontId="10" fillId="0" borderId="18" xfId="0" applyFont="1" applyFill="1" applyBorder="1" applyAlignment="1">
      <alignment horizontal="left" wrapText="1"/>
    </xf>
    <xf numFmtId="49" fontId="9" fillId="0" borderId="15" xfId="0" applyNumberFormat="1" applyFont="1" applyFill="1" applyBorder="1" applyAlignment="1">
      <alignment horizontal="right"/>
    </xf>
    <xf numFmtId="200" fontId="9" fillId="0" borderId="24" xfId="0" applyNumberFormat="1" applyFont="1" applyFill="1" applyBorder="1" applyAlignment="1">
      <alignment/>
    </xf>
    <xf numFmtId="0" fontId="9" fillId="0" borderId="21" xfId="0" applyFont="1" applyFill="1" applyBorder="1" applyAlignment="1">
      <alignment horizontal="left" wrapText="1"/>
    </xf>
    <xf numFmtId="0" fontId="9" fillId="0" borderId="31" xfId="0" applyFont="1" applyFill="1" applyBorder="1" applyAlignment="1">
      <alignment/>
    </xf>
    <xf numFmtId="0" fontId="9" fillId="0" borderId="33" xfId="0" applyFont="1" applyFill="1" applyBorder="1" applyAlignment="1">
      <alignment/>
    </xf>
    <xf numFmtId="49" fontId="10" fillId="0" borderId="34" xfId="0" applyNumberFormat="1" applyFont="1" applyFill="1" applyBorder="1" applyAlignment="1">
      <alignment horizontal="left"/>
    </xf>
    <xf numFmtId="2" fontId="9" fillId="0" borderId="14" xfId="0" applyNumberFormat="1" applyFont="1" applyFill="1" applyBorder="1" applyAlignment="1">
      <alignment wrapText="1"/>
    </xf>
    <xf numFmtId="2" fontId="10" fillId="0" borderId="14" xfId="0" applyNumberFormat="1" applyFont="1" applyFill="1" applyBorder="1" applyAlignment="1">
      <alignment wrapText="1"/>
    </xf>
    <xf numFmtId="200" fontId="9" fillId="0" borderId="20" xfId="0" applyNumberFormat="1" applyFont="1" applyFill="1" applyBorder="1" applyAlignment="1">
      <alignment/>
    </xf>
    <xf numFmtId="200" fontId="10" fillId="0" borderId="14" xfId="0" applyNumberFormat="1" applyFont="1" applyFill="1" applyBorder="1" applyAlignment="1">
      <alignment/>
    </xf>
    <xf numFmtId="0" fontId="10" fillId="0" borderId="20" xfId="0" applyFont="1" applyFill="1" applyBorder="1" applyAlignment="1">
      <alignment/>
    </xf>
    <xf numFmtId="49" fontId="10" fillId="0" borderId="35" xfId="0" applyNumberFormat="1" applyFont="1" applyFill="1" applyBorder="1" applyAlignment="1">
      <alignment horizontal="right"/>
    </xf>
    <xf numFmtId="0" fontId="10" fillId="0" borderId="36" xfId="0" applyFont="1" applyFill="1" applyBorder="1" applyAlignment="1">
      <alignment wrapText="1"/>
    </xf>
    <xf numFmtId="0" fontId="10" fillId="0" borderId="28" xfId="0" applyFont="1" applyFill="1" applyBorder="1" applyAlignment="1">
      <alignment wrapText="1"/>
    </xf>
    <xf numFmtId="3" fontId="10" fillId="0" borderId="28" xfId="0" applyNumberFormat="1" applyFont="1" applyFill="1" applyBorder="1" applyAlignment="1">
      <alignment/>
    </xf>
    <xf numFmtId="200" fontId="10" fillId="0" borderId="28" xfId="0" applyNumberFormat="1" applyFont="1" applyFill="1" applyBorder="1" applyAlignment="1">
      <alignment/>
    </xf>
    <xf numFmtId="1" fontId="10" fillId="0" borderId="28" xfId="0" applyNumberFormat="1" applyFont="1" applyFill="1" applyBorder="1" applyAlignment="1">
      <alignment/>
    </xf>
    <xf numFmtId="0" fontId="10" fillId="0" borderId="28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3" fontId="10" fillId="0" borderId="13" xfId="0" applyNumberFormat="1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3" fontId="10" fillId="0" borderId="0" xfId="0" applyNumberFormat="1" applyFont="1" applyFill="1" applyAlignment="1">
      <alignment/>
    </xf>
    <xf numFmtId="49" fontId="9" fillId="0" borderId="0" xfId="0" applyNumberFormat="1" applyFont="1" applyFill="1" applyAlignment="1">
      <alignment horizontal="center" wrapText="1"/>
    </xf>
    <xf numFmtId="3" fontId="39" fillId="0" borderId="0" xfId="0" applyNumberFormat="1" applyFont="1" applyFill="1" applyAlignment="1">
      <alignment/>
    </xf>
    <xf numFmtId="0" fontId="10" fillId="0" borderId="27" xfId="0" applyFont="1" applyFill="1" applyBorder="1" applyAlignment="1">
      <alignment horizontal="left"/>
    </xf>
    <xf numFmtId="0" fontId="9" fillId="0" borderId="28" xfId="0" applyFont="1" applyFill="1" applyBorder="1" applyAlignment="1">
      <alignment/>
    </xf>
    <xf numFmtId="0" fontId="10" fillId="0" borderId="23" xfId="0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 horizontal="right" wrapText="1"/>
    </xf>
    <xf numFmtId="1" fontId="4" fillId="0" borderId="16" xfId="0" applyNumberFormat="1" applyFont="1" applyFill="1" applyBorder="1" applyAlignment="1">
      <alignment/>
    </xf>
    <xf numFmtId="1" fontId="4" fillId="0" borderId="16" xfId="0" applyNumberFormat="1" applyFont="1" applyBorder="1" applyAlignment="1">
      <alignment wrapText="1"/>
    </xf>
    <xf numFmtId="1" fontId="9" fillId="0" borderId="16" xfId="0" applyNumberFormat="1" applyFont="1" applyFill="1" applyBorder="1" applyAlignment="1">
      <alignment/>
    </xf>
    <xf numFmtId="3" fontId="9" fillId="0" borderId="13" xfId="0" applyNumberFormat="1" applyFont="1" applyFill="1" applyBorder="1" applyAlignment="1" applyProtection="1">
      <alignment horizontal="center" vertical="center" wrapText="1"/>
      <protection/>
    </xf>
    <xf numFmtId="0" fontId="9" fillId="0" borderId="37" xfId="60" applyFont="1" applyFill="1" applyBorder="1" applyAlignment="1">
      <alignment horizontal="center" vertical="center" wrapText="1"/>
      <protection/>
    </xf>
    <xf numFmtId="1" fontId="2" fillId="0" borderId="14" xfId="0" applyNumberFormat="1" applyFont="1" applyFill="1" applyBorder="1" applyAlignment="1">
      <alignment/>
    </xf>
    <xf numFmtId="0" fontId="9" fillId="0" borderId="22" xfId="0" applyFont="1" applyFill="1" applyBorder="1" applyAlignment="1">
      <alignment/>
    </xf>
    <xf numFmtId="3" fontId="2" fillId="0" borderId="16" xfId="0" applyNumberFormat="1" applyFont="1" applyFill="1" applyBorder="1" applyAlignment="1">
      <alignment/>
    </xf>
    <xf numFmtId="3" fontId="9" fillId="24" borderId="38" xfId="0" applyNumberFormat="1" applyFont="1" applyFill="1" applyBorder="1" applyAlignment="1">
      <alignment/>
    </xf>
    <xf numFmtId="3" fontId="9" fillId="0" borderId="39" xfId="0" applyNumberFormat="1" applyFont="1" applyFill="1" applyBorder="1" applyAlignment="1">
      <alignment/>
    </xf>
    <xf numFmtId="1" fontId="9" fillId="0" borderId="30" xfId="0" applyNumberFormat="1" applyFont="1" applyFill="1" applyBorder="1" applyAlignment="1">
      <alignment/>
    </xf>
    <xf numFmtId="3" fontId="10" fillId="0" borderId="40" xfId="0" applyNumberFormat="1" applyFont="1" applyFill="1" applyBorder="1" applyAlignment="1">
      <alignment/>
    </xf>
    <xf numFmtId="1" fontId="10" fillId="0" borderId="38" xfId="0" applyNumberFormat="1" applyFont="1" applyFill="1" applyBorder="1" applyAlignment="1">
      <alignment/>
    </xf>
    <xf numFmtId="0" fontId="10" fillId="0" borderId="22" xfId="0" applyFont="1" applyFill="1" applyBorder="1" applyAlignment="1">
      <alignment/>
    </xf>
    <xf numFmtId="0" fontId="9" fillId="0" borderId="16" xfId="0" applyFont="1" applyBorder="1" applyAlignment="1">
      <alignment horizontal="left" wrapText="1"/>
    </xf>
    <xf numFmtId="0" fontId="9" fillId="24" borderId="14" xfId="0" applyFont="1" applyFill="1" applyBorder="1" applyAlignment="1">
      <alignment/>
    </xf>
    <xf numFmtId="3" fontId="9" fillId="24" borderId="14" xfId="0" applyNumberFormat="1" applyFont="1" applyFill="1" applyBorder="1" applyAlignment="1">
      <alignment/>
    </xf>
    <xf numFmtId="0" fontId="9" fillId="0" borderId="14" xfId="0" applyFont="1" applyBorder="1" applyAlignment="1">
      <alignment horizontal="left" wrapText="1"/>
    </xf>
    <xf numFmtId="0" fontId="10" fillId="0" borderId="41" xfId="0" applyFont="1" applyFill="1" applyBorder="1" applyAlignment="1">
      <alignment/>
    </xf>
    <xf numFmtId="3" fontId="10" fillId="0" borderId="42" xfId="0" applyNumberFormat="1" applyFont="1" applyFill="1" applyBorder="1" applyAlignment="1">
      <alignment/>
    </xf>
    <xf numFmtId="0" fontId="9" fillId="0" borderId="38" xfId="0" applyFont="1" applyFill="1" applyBorder="1" applyAlignment="1">
      <alignment wrapText="1"/>
    </xf>
    <xf numFmtId="3" fontId="10" fillId="0" borderId="34" xfId="0" applyNumberFormat="1" applyFont="1" applyFill="1" applyBorder="1" applyAlignment="1">
      <alignment/>
    </xf>
    <xf numFmtId="1" fontId="5" fillId="0" borderId="13" xfId="0" applyNumberFormat="1" applyFont="1" applyBorder="1" applyAlignment="1">
      <alignment/>
    </xf>
    <xf numFmtId="0" fontId="9" fillId="0" borderId="14" xfId="0" applyFont="1" applyFill="1" applyBorder="1" applyAlignment="1">
      <alignment horizontal="left" wrapText="1"/>
    </xf>
    <xf numFmtId="3" fontId="0" fillId="0" borderId="14" xfId="0" applyNumberFormat="1" applyFont="1" applyFill="1" applyBorder="1" applyAlignment="1">
      <alignment/>
    </xf>
    <xf numFmtId="49" fontId="9" fillId="0" borderId="14" xfId="0" applyNumberFormat="1" applyFont="1" applyFill="1" applyBorder="1" applyAlignment="1">
      <alignment horizontal="right"/>
    </xf>
    <xf numFmtId="49" fontId="9" fillId="0" borderId="14" xfId="0" applyNumberFormat="1" applyFont="1" applyFill="1" applyBorder="1" applyAlignment="1">
      <alignment horizontal="left"/>
    </xf>
    <xf numFmtId="3" fontId="10" fillId="0" borderId="0" xfId="0" applyNumberFormat="1" applyFont="1" applyAlignment="1">
      <alignment/>
    </xf>
    <xf numFmtId="0" fontId="2" fillId="0" borderId="0" xfId="0" applyFont="1" applyFill="1" applyBorder="1" applyAlignment="1">
      <alignment horizontal="right" wrapText="1"/>
    </xf>
    <xf numFmtId="3" fontId="0" fillId="0" borderId="14" xfId="0" applyNumberFormat="1" applyFont="1" applyBorder="1" applyAlignment="1">
      <alignment/>
    </xf>
    <xf numFmtId="3" fontId="34" fillId="0" borderId="14" xfId="0" applyNumberFormat="1" applyFont="1" applyFill="1" applyBorder="1" applyAlignment="1">
      <alignment/>
    </xf>
    <xf numFmtId="3" fontId="10" fillId="0" borderId="22" xfId="0" applyNumberFormat="1" applyFont="1" applyFill="1" applyBorder="1" applyAlignment="1">
      <alignment/>
    </xf>
    <xf numFmtId="200" fontId="9" fillId="0" borderId="0" xfId="0" applyNumberFormat="1" applyFont="1" applyFill="1" applyAlignment="1">
      <alignment/>
    </xf>
    <xf numFmtId="1" fontId="9" fillId="0" borderId="25" xfId="0" applyNumberFormat="1" applyFont="1" applyFill="1" applyBorder="1" applyAlignment="1">
      <alignment/>
    </xf>
    <xf numFmtId="3" fontId="10" fillId="0" borderId="23" xfId="0" applyNumberFormat="1" applyFont="1" applyFill="1" applyBorder="1" applyAlignment="1">
      <alignment horizontal="center"/>
    </xf>
    <xf numFmtId="0" fontId="10" fillId="0" borderId="0" xfId="0" applyFont="1" applyFill="1" applyBorder="1" applyAlignment="1" applyProtection="1">
      <alignment horizontal="right" wrapText="1"/>
      <protection/>
    </xf>
    <xf numFmtId="0" fontId="9" fillId="0" borderId="16" xfId="58" applyFont="1" applyFill="1" applyBorder="1" applyAlignment="1">
      <alignment horizontal="left" wrapText="1"/>
      <protection/>
    </xf>
    <xf numFmtId="0" fontId="9" fillId="0" borderId="22" xfId="58" applyFont="1" applyFill="1" applyBorder="1" applyAlignment="1">
      <alignment horizontal="left" wrapText="1"/>
      <protection/>
    </xf>
    <xf numFmtId="0" fontId="9" fillId="0" borderId="14" xfId="58" applyFont="1" applyFill="1" applyBorder="1" applyAlignment="1">
      <alignment horizontal="left" vertical="center" wrapText="1"/>
      <protection/>
    </xf>
    <xf numFmtId="0" fontId="9" fillId="0" borderId="14" xfId="58" applyFont="1" applyFill="1" applyBorder="1" applyAlignment="1">
      <alignment horizontal="left" wrapText="1"/>
      <protection/>
    </xf>
    <xf numFmtId="3" fontId="9" fillId="0" borderId="28" xfId="0" applyNumberFormat="1" applyFont="1" applyFill="1" applyBorder="1" applyAlignment="1">
      <alignment/>
    </xf>
    <xf numFmtId="0" fontId="0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1" fillId="0" borderId="23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43" xfId="0" applyFont="1" applyBorder="1" applyAlignment="1">
      <alignment/>
    </xf>
    <xf numFmtId="1" fontId="5" fillId="0" borderId="41" xfId="0" applyNumberFormat="1" applyFont="1" applyBorder="1" applyAlignment="1">
      <alignment/>
    </xf>
    <xf numFmtId="0" fontId="0" fillId="0" borderId="44" xfId="0" applyFont="1" applyBorder="1" applyAlignment="1">
      <alignment/>
    </xf>
    <xf numFmtId="0" fontId="4" fillId="0" borderId="16" xfId="0" applyFont="1" applyBorder="1" applyAlignment="1">
      <alignment/>
    </xf>
    <xf numFmtId="1" fontId="5" fillId="0" borderId="45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0" fontId="5" fillId="0" borderId="13" xfId="0" applyFont="1" applyBorder="1" applyAlignment="1">
      <alignment/>
    </xf>
    <xf numFmtId="0" fontId="0" fillId="0" borderId="0" xfId="0" applyFont="1" applyBorder="1" applyAlignment="1">
      <alignment wrapText="1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 wrapText="1"/>
    </xf>
    <xf numFmtId="0" fontId="1" fillId="0" borderId="23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31" xfId="0" applyFont="1" applyFill="1" applyBorder="1" applyAlignment="1">
      <alignment wrapText="1"/>
    </xf>
    <xf numFmtId="0" fontId="5" fillId="0" borderId="0" xfId="0" applyFont="1" applyBorder="1" applyAlignment="1">
      <alignment/>
    </xf>
    <xf numFmtId="0" fontId="10" fillId="0" borderId="28" xfId="0" applyFont="1" applyBorder="1" applyAlignment="1">
      <alignment/>
    </xf>
    <xf numFmtId="0" fontId="0" fillId="0" borderId="46" xfId="0" applyFont="1" applyBorder="1" applyAlignment="1">
      <alignment/>
    </xf>
    <xf numFmtId="1" fontId="4" fillId="0" borderId="38" xfId="0" applyNumberFormat="1" applyFont="1" applyBorder="1" applyAlignment="1">
      <alignment/>
    </xf>
    <xf numFmtId="1" fontId="5" fillId="0" borderId="39" xfId="0" applyNumberFormat="1" applyFont="1" applyBorder="1" applyAlignment="1">
      <alignment/>
    </xf>
    <xf numFmtId="1" fontId="4" fillId="0" borderId="31" xfId="0" applyNumberFormat="1" applyFont="1" applyFill="1" applyBorder="1" applyAlignment="1">
      <alignment/>
    </xf>
    <xf numFmtId="0" fontId="0" fillId="0" borderId="35" xfId="0" applyFont="1" applyBorder="1" applyAlignment="1">
      <alignment/>
    </xf>
    <xf numFmtId="1" fontId="5" fillId="0" borderId="38" xfId="0" applyNumberFormat="1" applyFont="1" applyBorder="1" applyAlignment="1">
      <alignment/>
    </xf>
    <xf numFmtId="1" fontId="5" fillId="0" borderId="47" xfId="0" applyNumberFormat="1" applyFont="1" applyBorder="1" applyAlignment="1">
      <alignment/>
    </xf>
    <xf numFmtId="1" fontId="4" fillId="0" borderId="0" xfId="0" applyNumberFormat="1" applyFont="1" applyFill="1" applyBorder="1" applyAlignment="1">
      <alignment/>
    </xf>
    <xf numFmtId="1" fontId="0" fillId="0" borderId="16" xfId="0" applyNumberFormat="1" applyFont="1" applyBorder="1" applyAlignment="1">
      <alignment/>
    </xf>
    <xf numFmtId="1" fontId="40" fillId="0" borderId="16" xfId="0" applyNumberFormat="1" applyFont="1" applyFill="1" applyBorder="1" applyAlignment="1">
      <alignment/>
    </xf>
    <xf numFmtId="3" fontId="9" fillId="24" borderId="20" xfId="0" applyNumberFormat="1" applyFont="1" applyFill="1" applyBorder="1" applyAlignment="1">
      <alignment/>
    </xf>
    <xf numFmtId="3" fontId="10" fillId="0" borderId="31" xfId="0" applyNumberFormat="1" applyFont="1" applyFill="1" applyBorder="1" applyAlignment="1">
      <alignment/>
    </xf>
    <xf numFmtId="3" fontId="10" fillId="0" borderId="30" xfId="0" applyNumberFormat="1" applyFont="1" applyFill="1" applyBorder="1" applyAlignment="1">
      <alignment/>
    </xf>
    <xf numFmtId="0" fontId="9" fillId="0" borderId="30" xfId="58" applyFont="1" applyFill="1" applyBorder="1" applyAlignment="1">
      <alignment horizontal="left" wrapText="1"/>
      <protection/>
    </xf>
    <xf numFmtId="200" fontId="9" fillId="0" borderId="31" xfId="0" applyNumberFormat="1" applyFont="1" applyFill="1" applyBorder="1" applyAlignment="1">
      <alignment/>
    </xf>
    <xf numFmtId="0" fontId="9" fillId="0" borderId="0" xfId="0" applyFont="1" applyAlignment="1">
      <alignment wrapText="1"/>
    </xf>
    <xf numFmtId="0" fontId="9" fillId="0" borderId="20" xfId="58" applyFont="1" applyFill="1" applyBorder="1" applyAlignment="1">
      <alignment horizontal="left" wrapText="1"/>
      <protection/>
    </xf>
    <xf numFmtId="3" fontId="10" fillId="0" borderId="0" xfId="0" applyNumberFormat="1" applyFont="1" applyFill="1" applyBorder="1" applyAlignment="1" applyProtection="1">
      <alignment horizontal="right"/>
      <protection/>
    </xf>
    <xf numFmtId="0" fontId="9" fillId="0" borderId="18" xfId="58" applyFont="1" applyFill="1" applyBorder="1" applyAlignment="1">
      <alignment horizontal="left" wrapText="1"/>
      <protection/>
    </xf>
    <xf numFmtId="3" fontId="2" fillId="0" borderId="21" xfId="0" applyNumberFormat="1" applyFont="1" applyFill="1" applyBorder="1" applyAlignment="1">
      <alignment/>
    </xf>
    <xf numFmtId="3" fontId="2" fillId="0" borderId="29" xfId="0" applyNumberFormat="1" applyFont="1" applyFill="1" applyBorder="1" applyAlignment="1">
      <alignment/>
    </xf>
    <xf numFmtId="3" fontId="10" fillId="0" borderId="48" xfId="0" applyNumberFormat="1" applyFont="1" applyFill="1" applyBorder="1" applyAlignment="1">
      <alignment/>
    </xf>
    <xf numFmtId="3" fontId="9" fillId="24" borderId="16" xfId="0" applyNumberFormat="1" applyFont="1" applyFill="1" applyBorder="1" applyAlignment="1">
      <alignment/>
    </xf>
    <xf numFmtId="0" fontId="0" fillId="0" borderId="48" xfId="0" applyBorder="1" applyAlignment="1">
      <alignment/>
    </xf>
    <xf numFmtId="0" fontId="41" fillId="0" borderId="14" xfId="0" applyFont="1" applyBorder="1" applyAlignment="1">
      <alignment horizontal="center" wrapText="1"/>
    </xf>
    <xf numFmtId="3" fontId="9" fillId="0" borderId="0" xfId="0" applyNumberFormat="1" applyFont="1" applyFill="1" applyAlignment="1">
      <alignment horizontal="left"/>
    </xf>
    <xf numFmtId="3" fontId="10" fillId="0" borderId="49" xfId="0" applyNumberFormat="1" applyFont="1" applyFill="1" applyBorder="1" applyAlignment="1">
      <alignment/>
    </xf>
    <xf numFmtId="3" fontId="10" fillId="0" borderId="50" xfId="0" applyNumberFormat="1" applyFont="1" applyFill="1" applyBorder="1" applyAlignment="1">
      <alignment/>
    </xf>
    <xf numFmtId="3" fontId="10" fillId="0" borderId="51" xfId="0" applyNumberFormat="1" applyFont="1" applyFill="1" applyBorder="1" applyAlignment="1">
      <alignment/>
    </xf>
    <xf numFmtId="0" fontId="31" fillId="0" borderId="0" xfId="0" applyFont="1" applyBorder="1" applyAlignment="1">
      <alignment wrapText="1"/>
    </xf>
    <xf numFmtId="3" fontId="10" fillId="0" borderId="25" xfId="0" applyNumberFormat="1" applyFont="1" applyFill="1" applyBorder="1" applyAlignment="1">
      <alignment/>
    </xf>
    <xf numFmtId="3" fontId="10" fillId="0" borderId="21" xfId="0" applyNumberFormat="1" applyFont="1" applyFill="1" applyBorder="1" applyAlignment="1">
      <alignment/>
    </xf>
    <xf numFmtId="1" fontId="2" fillId="0" borderId="30" xfId="0" applyNumberFormat="1" applyFont="1" applyFill="1" applyBorder="1" applyAlignment="1">
      <alignment/>
    </xf>
    <xf numFmtId="1" fontId="9" fillId="0" borderId="52" xfId="0" applyNumberFormat="1" applyFont="1" applyFill="1" applyBorder="1" applyAlignment="1">
      <alignment/>
    </xf>
    <xf numFmtId="2" fontId="9" fillId="0" borderId="0" xfId="0" applyNumberFormat="1" applyFont="1" applyFill="1" applyAlignment="1">
      <alignment/>
    </xf>
    <xf numFmtId="3" fontId="34" fillId="0" borderId="0" xfId="0" applyNumberFormat="1" applyFont="1" applyFill="1" applyBorder="1" applyAlignment="1" applyProtection="1">
      <alignment horizontal="center"/>
      <protection/>
    </xf>
    <xf numFmtId="3" fontId="34" fillId="0" borderId="0" xfId="0" applyNumberFormat="1" applyFont="1" applyFill="1" applyAlignment="1">
      <alignment/>
    </xf>
    <xf numFmtId="3" fontId="10" fillId="24" borderId="23" xfId="0" applyNumberFormat="1" applyFont="1" applyFill="1" applyBorder="1" applyAlignment="1">
      <alignment/>
    </xf>
    <xf numFmtId="3" fontId="10" fillId="24" borderId="24" xfId="0" applyNumberFormat="1" applyFont="1" applyFill="1" applyBorder="1" applyAlignment="1">
      <alignment/>
    </xf>
    <xf numFmtId="3" fontId="10" fillId="0" borderId="53" xfId="0" applyNumberFormat="1" applyFont="1" applyFill="1" applyBorder="1" applyAlignment="1">
      <alignment/>
    </xf>
    <xf numFmtId="3" fontId="10" fillId="24" borderId="20" xfId="0" applyNumberFormat="1" applyFont="1" applyFill="1" applyBorder="1" applyAlignment="1">
      <alignment/>
    </xf>
    <xf numFmtId="3" fontId="10" fillId="0" borderId="54" xfId="0" applyNumberFormat="1" applyFont="1" applyFill="1" applyBorder="1" applyAlignment="1">
      <alignment/>
    </xf>
    <xf numFmtId="3" fontId="9" fillId="24" borderId="22" xfId="0" applyNumberFormat="1" applyFont="1" applyFill="1" applyBorder="1" applyAlignment="1">
      <alignment/>
    </xf>
    <xf numFmtId="3" fontId="10" fillId="0" borderId="55" xfId="0" applyNumberFormat="1" applyFont="1" applyFill="1" applyBorder="1" applyAlignment="1">
      <alignment/>
    </xf>
    <xf numFmtId="3" fontId="9" fillId="24" borderId="24" xfId="0" applyNumberFormat="1" applyFont="1" applyFill="1" applyBorder="1" applyAlignment="1">
      <alignment/>
    </xf>
    <xf numFmtId="3" fontId="9" fillId="24" borderId="31" xfId="0" applyNumberFormat="1" applyFont="1" applyFill="1" applyBorder="1" applyAlignment="1">
      <alignment/>
    </xf>
    <xf numFmtId="3" fontId="9" fillId="0" borderId="51" xfId="0" applyNumberFormat="1" applyFont="1" applyFill="1" applyBorder="1" applyAlignment="1">
      <alignment/>
    </xf>
    <xf numFmtId="0" fontId="34" fillId="0" borderId="24" xfId="0" applyFont="1" applyFill="1" applyBorder="1" applyAlignment="1">
      <alignment/>
    </xf>
    <xf numFmtId="3" fontId="9" fillId="0" borderId="54" xfId="0" applyNumberFormat="1" applyFont="1" applyFill="1" applyBorder="1" applyAlignment="1">
      <alignment/>
    </xf>
    <xf numFmtId="3" fontId="10" fillId="0" borderId="56" xfId="0" applyNumberFormat="1" applyFont="1" applyFill="1" applyBorder="1" applyAlignment="1">
      <alignment/>
    </xf>
    <xf numFmtId="0" fontId="9" fillId="24" borderId="20" xfId="0" applyFont="1" applyFill="1" applyBorder="1" applyAlignment="1">
      <alignment/>
    </xf>
    <xf numFmtId="0" fontId="9" fillId="0" borderId="30" xfId="0" applyFont="1" applyFill="1" applyBorder="1" applyAlignment="1">
      <alignment horizontal="left" wrapText="1"/>
    </xf>
    <xf numFmtId="0" fontId="9" fillId="24" borderId="31" xfId="0" applyFont="1" applyFill="1" applyBorder="1" applyAlignment="1">
      <alignment/>
    </xf>
    <xf numFmtId="0" fontId="9" fillId="0" borderId="30" xfId="0" applyFont="1" applyFill="1" applyBorder="1" applyAlignment="1">
      <alignment wrapText="1"/>
    </xf>
    <xf numFmtId="1" fontId="9" fillId="0" borderId="31" xfId="0" applyNumberFormat="1" applyFont="1" applyFill="1" applyBorder="1" applyAlignment="1">
      <alignment/>
    </xf>
    <xf numFmtId="3" fontId="10" fillId="24" borderId="14" xfId="0" applyNumberFormat="1" applyFont="1" applyFill="1" applyBorder="1" applyAlignment="1">
      <alignment/>
    </xf>
    <xf numFmtId="0" fontId="9" fillId="0" borderId="14" xfId="0" applyFont="1" applyFill="1" applyBorder="1" applyAlignment="1">
      <alignment horizontal="center" wrapText="1"/>
    </xf>
    <xf numFmtId="0" fontId="10" fillId="0" borderId="0" xfId="0" applyFont="1" applyBorder="1" applyAlignment="1">
      <alignment wrapText="1"/>
    </xf>
    <xf numFmtId="3" fontId="10" fillId="24" borderId="13" xfId="0" applyNumberFormat="1" applyFont="1" applyFill="1" applyBorder="1" applyAlignment="1">
      <alignment/>
    </xf>
    <xf numFmtId="3" fontId="10" fillId="24" borderId="57" xfId="0" applyNumberFormat="1" applyFont="1" applyFill="1" applyBorder="1" applyAlignment="1">
      <alignment/>
    </xf>
    <xf numFmtId="3" fontId="10" fillId="0" borderId="58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42" fillId="0" borderId="0" xfId="0" applyFont="1" applyFill="1" applyAlignment="1">
      <alignment/>
    </xf>
    <xf numFmtId="0" fontId="42" fillId="0" borderId="0" xfId="0" applyFont="1" applyFill="1" applyBorder="1" applyAlignment="1">
      <alignment horizontal="left" wrapText="1"/>
    </xf>
    <xf numFmtId="3" fontId="43" fillId="0" borderId="0" xfId="0" applyNumberFormat="1" applyFont="1" applyFill="1" applyBorder="1" applyAlignment="1">
      <alignment/>
    </xf>
    <xf numFmtId="4" fontId="43" fillId="0" borderId="0" xfId="0" applyNumberFormat="1" applyFont="1" applyFill="1" applyBorder="1" applyAlignment="1">
      <alignment/>
    </xf>
    <xf numFmtId="0" fontId="10" fillId="0" borderId="54" xfId="0" applyFont="1" applyFill="1" applyBorder="1" applyAlignment="1">
      <alignment/>
    </xf>
    <xf numFmtId="0" fontId="10" fillId="0" borderId="49" xfId="0" applyFont="1" applyFill="1" applyBorder="1" applyAlignment="1">
      <alignment/>
    </xf>
    <xf numFmtId="0" fontId="10" fillId="0" borderId="0" xfId="0" applyFont="1" applyBorder="1" applyAlignment="1">
      <alignment/>
    </xf>
    <xf numFmtId="0" fontId="10" fillId="0" borderId="32" xfId="0" applyFont="1" applyBorder="1" applyAlignment="1">
      <alignment/>
    </xf>
    <xf numFmtId="1" fontId="10" fillId="0" borderId="32" xfId="0" applyNumberFormat="1" applyFont="1" applyBorder="1" applyAlignment="1">
      <alignment/>
    </xf>
    <xf numFmtId="0" fontId="44" fillId="0" borderId="32" xfId="0" applyFont="1" applyBorder="1" applyAlignment="1">
      <alignment/>
    </xf>
    <xf numFmtId="0" fontId="44" fillId="0" borderId="28" xfId="0" applyFont="1" applyBorder="1" applyAlignment="1">
      <alignment/>
    </xf>
    <xf numFmtId="3" fontId="10" fillId="0" borderId="28" xfId="0" applyNumberFormat="1" applyFont="1" applyBorder="1" applyAlignment="1">
      <alignment/>
    </xf>
    <xf numFmtId="3" fontId="10" fillId="0" borderId="32" xfId="0" applyNumberFormat="1" applyFont="1" applyBorder="1" applyAlignment="1">
      <alignment/>
    </xf>
    <xf numFmtId="3" fontId="10" fillId="0" borderId="33" xfId="0" applyNumberFormat="1" applyFont="1" applyFill="1" applyBorder="1" applyAlignment="1">
      <alignment/>
    </xf>
    <xf numFmtId="49" fontId="10" fillId="0" borderId="46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/>
    </xf>
    <xf numFmtId="0" fontId="9" fillId="0" borderId="14" xfId="0" applyFont="1" applyBorder="1" applyAlignment="1">
      <alignment horizontal="center" wrapText="1"/>
    </xf>
    <xf numFmtId="0" fontId="52" fillId="0" borderId="0" xfId="0" applyFont="1" applyAlignment="1">
      <alignment/>
    </xf>
    <xf numFmtId="0" fontId="0" fillId="0" borderId="18" xfId="0" applyFont="1" applyBorder="1" applyAlignment="1">
      <alignment/>
    </xf>
    <xf numFmtId="0" fontId="41" fillId="0" borderId="18" xfId="0" applyFont="1" applyBorder="1" applyAlignment="1">
      <alignment horizontal="center" wrapText="1"/>
    </xf>
    <xf numFmtId="3" fontId="30" fillId="0" borderId="0" xfId="0" applyNumberFormat="1" applyFont="1" applyFill="1" applyBorder="1" applyAlignment="1">
      <alignment horizontal="right"/>
    </xf>
    <xf numFmtId="3" fontId="1" fillId="0" borderId="14" xfId="0" applyNumberFormat="1" applyFont="1" applyBorder="1" applyAlignment="1">
      <alignment/>
    </xf>
    <xf numFmtId="0" fontId="10" fillId="0" borderId="16" xfId="0" applyFont="1" applyBorder="1" applyAlignment="1">
      <alignment horizontal="left" wrapText="1"/>
    </xf>
    <xf numFmtId="3" fontId="9" fillId="0" borderId="14" xfId="0" applyNumberFormat="1" applyFont="1" applyFill="1" applyBorder="1" applyAlignment="1">
      <alignment horizontal="left" wrapText="1"/>
    </xf>
    <xf numFmtId="0" fontId="9" fillId="0" borderId="21" xfId="0" applyFont="1" applyFill="1" applyBorder="1" applyAlignment="1">
      <alignment wrapText="1"/>
    </xf>
    <xf numFmtId="3" fontId="10" fillId="0" borderId="0" xfId="0" applyNumberFormat="1" applyFont="1" applyBorder="1" applyAlignment="1" applyProtection="1">
      <alignment horizontal="right"/>
      <protection/>
    </xf>
    <xf numFmtId="49" fontId="9" fillId="0" borderId="26" xfId="0" applyNumberFormat="1" applyFont="1" applyFill="1" applyBorder="1" applyAlignment="1">
      <alignment horizontal="right"/>
    </xf>
    <xf numFmtId="3" fontId="53" fillId="0" borderId="0" xfId="0" applyNumberFormat="1" applyFont="1" applyFill="1" applyAlignment="1">
      <alignment/>
    </xf>
    <xf numFmtId="0" fontId="9" fillId="0" borderId="0" xfId="0" applyFont="1" applyFill="1" applyBorder="1" applyAlignment="1">
      <alignment horizontal="left" wrapText="1"/>
    </xf>
    <xf numFmtId="1" fontId="9" fillId="0" borderId="20" xfId="0" applyNumberFormat="1" applyFont="1" applyFill="1" applyBorder="1" applyAlignment="1">
      <alignment/>
    </xf>
    <xf numFmtId="0" fontId="9" fillId="0" borderId="0" xfId="58" applyFont="1" applyFill="1" applyBorder="1" applyAlignment="1">
      <alignment horizontal="left" wrapText="1"/>
      <protection/>
    </xf>
    <xf numFmtId="3" fontId="10" fillId="24" borderId="31" xfId="0" applyNumberFormat="1" applyFont="1" applyFill="1" applyBorder="1" applyAlignment="1">
      <alignment/>
    </xf>
    <xf numFmtId="0" fontId="9" fillId="0" borderId="14" xfId="59" applyFont="1" applyFill="1" applyBorder="1" applyAlignment="1">
      <alignment horizontal="left" wrapText="1"/>
      <protection/>
    </xf>
    <xf numFmtId="3" fontId="30" fillId="0" borderId="0" xfId="0" applyNumberFormat="1" applyFont="1" applyFill="1" applyAlignment="1">
      <alignment horizontal="right" wrapText="1"/>
    </xf>
    <xf numFmtId="3" fontId="30" fillId="0" borderId="0" xfId="0" applyNumberFormat="1" applyFont="1" applyFill="1" applyAlignment="1">
      <alignment horizontal="right"/>
    </xf>
    <xf numFmtId="3" fontId="9" fillId="25" borderId="14" xfId="0" applyNumberFormat="1" applyFont="1" applyFill="1" applyBorder="1" applyAlignment="1">
      <alignment wrapText="1"/>
    </xf>
    <xf numFmtId="0" fontId="0" fillId="25" borderId="14" xfId="0" applyFill="1" applyBorder="1" applyAlignment="1">
      <alignment/>
    </xf>
    <xf numFmtId="3" fontId="45" fillId="0" borderId="14" xfId="0" applyNumberFormat="1" applyFont="1" applyFill="1" applyBorder="1" applyAlignment="1">
      <alignment horizontal="right"/>
    </xf>
    <xf numFmtId="3" fontId="45" fillId="0" borderId="14" xfId="0" applyNumberFormat="1" applyFont="1" applyFill="1" applyBorder="1" applyAlignment="1">
      <alignment/>
    </xf>
    <xf numFmtId="49" fontId="46" fillId="0" borderId="14" xfId="0" applyNumberFormat="1" applyFont="1" applyFill="1" applyBorder="1" applyAlignment="1">
      <alignment horizontal="left"/>
    </xf>
    <xf numFmtId="49" fontId="46" fillId="0" borderId="14" xfId="0" applyNumberFormat="1" applyFont="1" applyFill="1" applyBorder="1" applyAlignment="1">
      <alignment horizontal="right"/>
    </xf>
    <xf numFmtId="0" fontId="46" fillId="0" borderId="14" xfId="0" applyFont="1" applyFill="1" applyBorder="1" applyAlignment="1">
      <alignment horizontal="right" wrapText="1"/>
    </xf>
    <xf numFmtId="49" fontId="46" fillId="0" borderId="14" xfId="0" applyNumberFormat="1" applyFont="1" applyBorder="1" applyAlignment="1">
      <alignment horizontal="right"/>
    </xf>
    <xf numFmtId="0" fontId="54" fillId="0" borderId="14" xfId="0" applyFont="1" applyFill="1" applyBorder="1" applyAlignment="1">
      <alignment wrapText="1"/>
    </xf>
    <xf numFmtId="3" fontId="45" fillId="25" borderId="14" xfId="0" applyNumberFormat="1" applyFont="1" applyFill="1" applyBorder="1" applyAlignment="1">
      <alignment/>
    </xf>
    <xf numFmtId="0" fontId="47" fillId="0" borderId="14" xfId="0" applyFont="1" applyFill="1" applyBorder="1" applyAlignment="1">
      <alignment horizontal="right"/>
    </xf>
    <xf numFmtId="49" fontId="47" fillId="0" borderId="14" xfId="0" applyNumberFormat="1" applyFont="1" applyFill="1" applyBorder="1" applyAlignment="1">
      <alignment/>
    </xf>
    <xf numFmtId="2" fontId="47" fillId="0" borderId="14" xfId="0" applyNumberFormat="1" applyFont="1" applyFill="1" applyBorder="1" applyAlignment="1">
      <alignment wrapText="1"/>
    </xf>
    <xf numFmtId="0" fontId="47" fillId="0" borderId="14" xfId="0" applyFont="1" applyBorder="1" applyAlignment="1">
      <alignment horizontal="right"/>
    </xf>
    <xf numFmtId="0" fontId="47" fillId="0" borderId="0" xfId="0" applyFont="1" applyAlignment="1">
      <alignment/>
    </xf>
    <xf numFmtId="0" fontId="9" fillId="24" borderId="14" xfId="0" applyFont="1" applyFill="1" applyBorder="1" applyAlignment="1">
      <alignment wrapText="1"/>
    </xf>
    <xf numFmtId="0" fontId="9" fillId="0" borderId="14" xfId="0" applyFont="1" applyBorder="1" applyAlignment="1">
      <alignment wrapText="1"/>
    </xf>
    <xf numFmtId="3" fontId="9" fillId="0" borderId="0" xfId="0" applyNumberFormat="1" applyFont="1" applyFill="1" applyAlignment="1">
      <alignment horizontal="right" wrapText="1"/>
    </xf>
    <xf numFmtId="0" fontId="9" fillId="0" borderId="14" xfId="0" applyFont="1" applyFill="1" applyBorder="1" applyAlignment="1">
      <alignment horizontal="right" wrapText="1"/>
    </xf>
    <xf numFmtId="0" fontId="9" fillId="0" borderId="14" xfId="58" applyFont="1" applyFill="1" applyBorder="1" applyAlignment="1">
      <alignment horizontal="right" wrapText="1"/>
      <protection/>
    </xf>
    <xf numFmtId="49" fontId="9" fillId="0" borderId="14" xfId="0" applyNumberFormat="1" applyFont="1" applyBorder="1" applyAlignment="1">
      <alignment horizontal="left"/>
    </xf>
    <xf numFmtId="0" fontId="9" fillId="0" borderId="14" xfId="0" applyFont="1" applyFill="1" applyBorder="1" applyAlignment="1">
      <alignment horizontal="left"/>
    </xf>
    <xf numFmtId="3" fontId="9" fillId="0" borderId="14" xfId="0" applyNumberFormat="1" applyFont="1" applyFill="1" applyBorder="1" applyAlignment="1">
      <alignment horizontal="right"/>
    </xf>
    <xf numFmtId="49" fontId="9" fillId="0" borderId="0" xfId="0" applyNumberFormat="1" applyFont="1" applyAlignment="1">
      <alignment/>
    </xf>
    <xf numFmtId="0" fontId="31" fillId="0" borderId="14" xfId="0" applyFont="1" applyBorder="1" applyAlignment="1">
      <alignment horizontal="center"/>
    </xf>
    <xf numFmtId="49" fontId="31" fillId="0" borderId="14" xfId="0" applyNumberFormat="1" applyFont="1" applyBorder="1" applyAlignment="1">
      <alignment horizontal="center" wrapText="1"/>
    </xf>
    <xf numFmtId="3" fontId="31" fillId="0" borderId="14" xfId="0" applyNumberFormat="1" applyFont="1" applyBorder="1" applyAlignment="1">
      <alignment horizontal="center"/>
    </xf>
    <xf numFmtId="49" fontId="31" fillId="0" borderId="14" xfId="0" applyNumberFormat="1" applyFont="1" applyBorder="1" applyAlignment="1">
      <alignment horizontal="center"/>
    </xf>
    <xf numFmtId="0" fontId="9" fillId="0" borderId="14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49" fontId="10" fillId="0" borderId="14" xfId="0" applyNumberFormat="1" applyFont="1" applyBorder="1" applyAlignment="1">
      <alignment horizontal="left"/>
    </xf>
    <xf numFmtId="0" fontId="10" fillId="0" borderId="14" xfId="0" applyFont="1" applyBorder="1" applyAlignment="1">
      <alignment wrapText="1"/>
    </xf>
    <xf numFmtId="0" fontId="9" fillId="0" borderId="14" xfId="0" applyFont="1" applyBorder="1" applyAlignment="1">
      <alignment/>
    </xf>
    <xf numFmtId="0" fontId="9" fillId="0" borderId="16" xfId="0" applyFont="1" applyBorder="1" applyAlignment="1">
      <alignment horizontal="right"/>
    </xf>
    <xf numFmtId="49" fontId="9" fillId="0" borderId="14" xfId="0" applyNumberFormat="1" applyFont="1" applyBorder="1" applyAlignment="1">
      <alignment horizontal="right"/>
    </xf>
    <xf numFmtId="0" fontId="9" fillId="0" borderId="16" xfId="0" applyFont="1" applyFill="1" applyBorder="1" applyAlignment="1">
      <alignment horizontal="right" wrapText="1"/>
    </xf>
    <xf numFmtId="0" fontId="10" fillId="0" borderId="14" xfId="0" applyFont="1" applyBorder="1" applyAlignment="1">
      <alignment horizontal="right" wrapText="1"/>
    </xf>
    <xf numFmtId="49" fontId="10" fillId="0" borderId="14" xfId="0" applyNumberFormat="1" applyFont="1" applyFill="1" applyBorder="1" applyAlignment="1">
      <alignment horizontal="left"/>
    </xf>
    <xf numFmtId="0" fontId="9" fillId="0" borderId="16" xfId="58" applyFont="1" applyFill="1" applyBorder="1" applyAlignment="1">
      <alignment horizontal="right" wrapText="1"/>
      <protection/>
    </xf>
    <xf numFmtId="0" fontId="10" fillId="0" borderId="16" xfId="0" applyFont="1" applyBorder="1" applyAlignment="1">
      <alignment wrapText="1"/>
    </xf>
    <xf numFmtId="0" fontId="9" fillId="0" borderId="14" xfId="0" applyFont="1" applyFill="1" applyBorder="1" applyAlignment="1">
      <alignment wrapText="1"/>
    </xf>
    <xf numFmtId="0" fontId="9" fillId="0" borderId="16" xfId="0" applyFont="1" applyBorder="1" applyAlignment="1">
      <alignment horizontal="right" wrapText="1"/>
    </xf>
    <xf numFmtId="0" fontId="9" fillId="24" borderId="16" xfId="0" applyFont="1" applyFill="1" applyBorder="1" applyAlignment="1">
      <alignment horizontal="right" wrapText="1"/>
    </xf>
    <xf numFmtId="0" fontId="10" fillId="0" borderId="14" xfId="0" applyFont="1" applyBorder="1" applyAlignment="1">
      <alignment horizontal="left" wrapText="1"/>
    </xf>
    <xf numFmtId="49" fontId="10" fillId="0" borderId="14" xfId="0" applyNumberFormat="1" applyFont="1" applyBorder="1" applyAlignment="1">
      <alignment/>
    </xf>
    <xf numFmtId="0" fontId="9" fillId="0" borderId="14" xfId="0" applyFont="1" applyBorder="1" applyAlignment="1">
      <alignment horizontal="justify" vertical="center"/>
    </xf>
    <xf numFmtId="49" fontId="9" fillId="0" borderId="14" xfId="0" applyNumberFormat="1" applyFont="1" applyBorder="1" applyAlignment="1">
      <alignment/>
    </xf>
    <xf numFmtId="0" fontId="9" fillId="0" borderId="14" xfId="0" applyFont="1" applyBorder="1" applyAlignment="1">
      <alignment horizontal="justify"/>
    </xf>
    <xf numFmtId="0" fontId="10" fillId="0" borderId="14" xfId="0" applyFont="1" applyFill="1" applyBorder="1" applyAlignment="1">
      <alignment horizontal="right" wrapText="1"/>
    </xf>
    <xf numFmtId="0" fontId="9" fillId="0" borderId="14" xfId="0" applyFont="1" applyBorder="1" applyAlignment="1">
      <alignment horizontal="right" wrapText="1"/>
    </xf>
    <xf numFmtId="0" fontId="9" fillId="0" borderId="42" xfId="0" applyFont="1" applyBorder="1" applyAlignment="1">
      <alignment wrapText="1"/>
    </xf>
    <xf numFmtId="3" fontId="9" fillId="25" borderId="14" xfId="0" applyNumberFormat="1" applyFont="1" applyFill="1" applyBorder="1" applyAlignment="1">
      <alignment/>
    </xf>
    <xf numFmtId="0" fontId="9" fillId="25" borderId="14" xfId="0" applyFont="1" applyFill="1" applyBorder="1" applyAlignment="1">
      <alignment horizontal="right" wrapText="1"/>
    </xf>
    <xf numFmtId="49" fontId="9" fillId="25" borderId="14" xfId="0" applyNumberFormat="1" applyFont="1" applyFill="1" applyBorder="1" applyAlignment="1">
      <alignment/>
    </xf>
    <xf numFmtId="0" fontId="9" fillId="25" borderId="14" xfId="0" applyFont="1" applyFill="1" applyBorder="1" applyAlignment="1">
      <alignment/>
    </xf>
    <xf numFmtId="0" fontId="9" fillId="25" borderId="14" xfId="0" applyFont="1" applyFill="1" applyBorder="1" applyAlignment="1">
      <alignment wrapText="1"/>
    </xf>
    <xf numFmtId="0" fontId="9" fillId="25" borderId="0" xfId="0" applyFont="1" applyFill="1" applyAlignment="1">
      <alignment/>
    </xf>
    <xf numFmtId="49" fontId="9" fillId="25" borderId="14" xfId="0" applyNumberFormat="1" applyFont="1" applyFill="1" applyBorder="1" applyAlignment="1">
      <alignment horizontal="left"/>
    </xf>
    <xf numFmtId="0" fontId="10" fillId="0" borderId="14" xfId="0" applyFont="1" applyBorder="1" applyAlignment="1">
      <alignment/>
    </xf>
    <xf numFmtId="0" fontId="9" fillId="0" borderId="16" xfId="0" applyNumberFormat="1" applyFont="1" applyFill="1" applyBorder="1" applyAlignment="1">
      <alignment horizontal="left" wrapText="1"/>
    </xf>
    <xf numFmtId="0" fontId="10" fillId="0" borderId="14" xfId="0" applyFont="1" applyBorder="1" applyAlignment="1">
      <alignment horizontal="right"/>
    </xf>
    <xf numFmtId="3" fontId="10" fillId="0" borderId="14" xfId="0" applyNumberFormat="1" applyFont="1" applyBorder="1" applyAlignment="1">
      <alignment/>
    </xf>
    <xf numFmtId="0" fontId="10" fillId="0" borderId="14" xfId="0" applyFont="1" applyFill="1" applyBorder="1" applyAlignment="1">
      <alignment horizontal="right"/>
    </xf>
    <xf numFmtId="0" fontId="9" fillId="0" borderId="14" xfId="0" applyFont="1" applyBorder="1" applyAlignment="1">
      <alignment horizontal="right"/>
    </xf>
    <xf numFmtId="3" fontId="10" fillId="0" borderId="14" xfId="0" applyNumberFormat="1" applyFont="1" applyBorder="1" applyAlignment="1">
      <alignment horizontal="right"/>
    </xf>
    <xf numFmtId="0" fontId="9" fillId="0" borderId="14" xfId="0" applyFont="1" applyFill="1" applyBorder="1" applyAlignment="1">
      <alignment horizontal="right"/>
    </xf>
    <xf numFmtId="0" fontId="9" fillId="0" borderId="0" xfId="0" applyFont="1" applyAlignment="1">
      <alignment horizontal="right"/>
    </xf>
    <xf numFmtId="0" fontId="9" fillId="0" borderId="0" xfId="0" applyFont="1" applyFill="1" applyAlignment="1">
      <alignment horizontal="right"/>
    </xf>
    <xf numFmtId="0" fontId="9" fillId="0" borderId="30" xfId="58" applyFont="1" applyFill="1" applyBorder="1" applyAlignment="1">
      <alignment horizontal="right" wrapText="1"/>
      <protection/>
    </xf>
    <xf numFmtId="0" fontId="9" fillId="0" borderId="14" xfId="0" applyFont="1" applyFill="1" applyBorder="1" applyAlignment="1">
      <alignment horizontal="right" wrapText="1"/>
    </xf>
    <xf numFmtId="0" fontId="10" fillId="0" borderId="0" xfId="0" applyFont="1" applyAlignment="1">
      <alignment/>
    </xf>
    <xf numFmtId="3" fontId="34" fillId="0" borderId="0" xfId="0" applyNumberFormat="1" applyFont="1" applyAlignment="1">
      <alignment/>
    </xf>
    <xf numFmtId="0" fontId="9" fillId="25" borderId="16" xfId="0" applyFont="1" applyFill="1" applyBorder="1" applyAlignment="1">
      <alignment horizontal="right" wrapText="1"/>
    </xf>
    <xf numFmtId="49" fontId="9" fillId="0" borderId="14" xfId="0" applyNumberFormat="1" applyFont="1" applyFill="1" applyBorder="1" applyAlignment="1">
      <alignment horizontal="right" wrapText="1"/>
    </xf>
    <xf numFmtId="0" fontId="9" fillId="0" borderId="0" xfId="0" applyFont="1" applyAlignment="1">
      <alignment/>
    </xf>
    <xf numFmtId="0" fontId="9" fillId="0" borderId="18" xfId="58" applyFont="1" applyFill="1" applyBorder="1" applyAlignment="1">
      <alignment horizontal="right" wrapText="1"/>
      <protection/>
    </xf>
    <xf numFmtId="0" fontId="45" fillId="0" borderId="20" xfId="0" applyFont="1" applyFill="1" applyBorder="1" applyAlignment="1">
      <alignment/>
    </xf>
    <xf numFmtId="0" fontId="10" fillId="0" borderId="0" xfId="0" applyFont="1" applyFill="1" applyBorder="1" applyAlignment="1">
      <alignment horizontal="left" wrapText="1"/>
    </xf>
    <xf numFmtId="0" fontId="9" fillId="0" borderId="0" xfId="62" applyFont="1" applyFill="1" applyAlignment="1">
      <alignment horizontal="left"/>
      <protection/>
    </xf>
    <xf numFmtId="0" fontId="9" fillId="0" borderId="13" xfId="61" applyFont="1" applyFill="1" applyBorder="1" applyAlignment="1">
      <alignment vertical="center" wrapText="1"/>
      <protection/>
    </xf>
    <xf numFmtId="0" fontId="9" fillId="0" borderId="23" xfId="61" applyFont="1" applyFill="1" applyBorder="1" applyAlignment="1">
      <alignment vertical="center" wrapText="1"/>
      <protection/>
    </xf>
    <xf numFmtId="0" fontId="10" fillId="0" borderId="49" xfId="57" applyFont="1" applyFill="1" applyBorder="1" applyAlignment="1" applyProtection="1">
      <alignment horizontal="center" vertical="center" wrapText="1"/>
      <protection/>
    </xf>
    <xf numFmtId="210" fontId="9" fillId="0" borderId="0" xfId="0" applyNumberFormat="1" applyFont="1" applyFill="1" applyAlignment="1">
      <alignment/>
    </xf>
    <xf numFmtId="3" fontId="9" fillId="25" borderId="28" xfId="0" applyNumberFormat="1" applyFont="1" applyFill="1" applyBorder="1" applyAlignment="1">
      <alignment/>
    </xf>
    <xf numFmtId="0" fontId="10" fillId="0" borderId="30" xfId="0" applyFont="1" applyFill="1" applyBorder="1" applyAlignment="1">
      <alignment wrapText="1"/>
    </xf>
    <xf numFmtId="3" fontId="9" fillId="25" borderId="18" xfId="0" applyNumberFormat="1" applyFont="1" applyFill="1" applyBorder="1" applyAlignment="1" applyProtection="1">
      <alignment/>
      <protection/>
    </xf>
    <xf numFmtId="3" fontId="9" fillId="25" borderId="14" xfId="0" applyNumberFormat="1" applyFont="1" applyFill="1" applyBorder="1" applyAlignment="1" applyProtection="1">
      <alignment horizontal="center"/>
      <protection/>
    </xf>
    <xf numFmtId="0" fontId="9" fillId="0" borderId="0" xfId="62" applyFont="1" applyFill="1" applyAlignment="1">
      <alignment horizontal="right"/>
      <protection/>
    </xf>
    <xf numFmtId="3" fontId="9" fillId="25" borderId="20" xfId="0" applyNumberFormat="1" applyFont="1" applyFill="1" applyBorder="1" applyAlignment="1">
      <alignment/>
    </xf>
    <xf numFmtId="1" fontId="10" fillId="0" borderId="14" xfId="0" applyNumberFormat="1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10" fillId="0" borderId="33" xfId="0" applyFont="1" applyFill="1" applyBorder="1" applyAlignment="1">
      <alignment/>
    </xf>
    <xf numFmtId="1" fontId="10" fillId="0" borderId="31" xfId="0" applyNumberFormat="1" applyFont="1" applyFill="1" applyBorder="1" applyAlignment="1">
      <alignment/>
    </xf>
    <xf numFmtId="200" fontId="10" fillId="0" borderId="31" xfId="0" applyNumberFormat="1" applyFont="1" applyFill="1" applyBorder="1" applyAlignment="1">
      <alignment/>
    </xf>
    <xf numFmtId="0" fontId="10" fillId="0" borderId="31" xfId="0" applyFont="1" applyFill="1" applyBorder="1" applyAlignment="1">
      <alignment/>
    </xf>
    <xf numFmtId="3" fontId="53" fillId="24" borderId="20" xfId="0" applyNumberFormat="1" applyFont="1" applyFill="1" applyBorder="1" applyAlignment="1">
      <alignment/>
    </xf>
    <xf numFmtId="0" fontId="9" fillId="0" borderId="20" xfId="58" applyFont="1" applyFill="1" applyBorder="1" applyAlignment="1">
      <alignment horizontal="right" wrapText="1"/>
      <protection/>
    </xf>
    <xf numFmtId="3" fontId="10" fillId="0" borderId="57" xfId="0" applyNumberFormat="1" applyFont="1" applyFill="1" applyBorder="1" applyAlignment="1">
      <alignment/>
    </xf>
    <xf numFmtId="0" fontId="9" fillId="0" borderId="0" xfId="57" applyFont="1" applyFill="1" applyBorder="1" applyAlignment="1">
      <alignment horizontal="left" wrapText="1"/>
      <protection/>
    </xf>
    <xf numFmtId="3" fontId="42" fillId="0" borderId="0" xfId="0" applyNumberFormat="1" applyFont="1" applyFill="1" applyAlignment="1">
      <alignment/>
    </xf>
    <xf numFmtId="0" fontId="9" fillId="0" borderId="41" xfId="0" applyFont="1" applyFill="1" applyBorder="1" applyAlignment="1">
      <alignment/>
    </xf>
    <xf numFmtId="0" fontId="9" fillId="25" borderId="33" xfId="0" applyFont="1" applyFill="1" applyBorder="1" applyAlignment="1">
      <alignment/>
    </xf>
    <xf numFmtId="3" fontId="10" fillId="0" borderId="27" xfId="0" applyNumberFormat="1" applyFont="1" applyFill="1" applyBorder="1" applyAlignment="1">
      <alignment/>
    </xf>
    <xf numFmtId="3" fontId="10" fillId="0" borderId="12" xfId="0" applyNumberFormat="1" applyFont="1" applyFill="1" applyBorder="1" applyAlignment="1">
      <alignment/>
    </xf>
    <xf numFmtId="0" fontId="9" fillId="0" borderId="0" xfId="57" applyFont="1" applyFill="1" applyBorder="1" applyAlignment="1" applyProtection="1">
      <alignment wrapText="1"/>
      <protection/>
    </xf>
    <xf numFmtId="3" fontId="9" fillId="24" borderId="36" xfId="0" applyNumberFormat="1" applyFont="1" applyFill="1" applyBorder="1" applyAlignment="1">
      <alignment/>
    </xf>
    <xf numFmtId="0" fontId="9" fillId="0" borderId="16" xfId="0" applyFont="1" applyFill="1" applyBorder="1" applyAlignment="1">
      <alignment horizontal="right" wrapText="1"/>
    </xf>
    <xf numFmtId="0" fontId="9" fillId="0" borderId="18" xfId="0" applyFont="1" applyFill="1" applyBorder="1" applyAlignment="1">
      <alignment horizontal="right" wrapText="1"/>
    </xf>
    <xf numFmtId="1" fontId="1" fillId="0" borderId="59" xfId="0" applyNumberFormat="1" applyFont="1" applyBorder="1" applyAlignment="1">
      <alignment/>
    </xf>
    <xf numFmtId="49" fontId="46" fillId="0" borderId="14" xfId="0" applyNumberFormat="1" applyFont="1" applyBorder="1" applyAlignment="1">
      <alignment horizontal="left"/>
    </xf>
    <xf numFmtId="0" fontId="55" fillId="0" borderId="14" xfId="0" applyFont="1" applyFill="1" applyBorder="1" applyAlignment="1">
      <alignment wrapText="1"/>
    </xf>
    <xf numFmtId="3" fontId="56" fillId="0" borderId="14" xfId="0" applyNumberFormat="1" applyFont="1" applyFill="1" applyBorder="1" applyAlignment="1">
      <alignment/>
    </xf>
    <xf numFmtId="3" fontId="55" fillId="0" borderId="14" xfId="0" applyNumberFormat="1" applyFont="1" applyFill="1" applyBorder="1" applyAlignment="1">
      <alignment/>
    </xf>
    <xf numFmtId="49" fontId="10" fillId="0" borderId="26" xfId="0" applyNumberFormat="1" applyFont="1" applyFill="1" applyBorder="1" applyAlignment="1">
      <alignment horizontal="right"/>
    </xf>
    <xf numFmtId="0" fontId="47" fillId="0" borderId="60" xfId="0" applyFont="1" applyFill="1" applyBorder="1" applyAlignment="1">
      <alignment horizontal="left" wrapText="1"/>
    </xf>
    <xf numFmtId="3" fontId="9" fillId="24" borderId="32" xfId="0" applyNumberFormat="1" applyFont="1" applyFill="1" applyBorder="1" applyAlignment="1">
      <alignment/>
    </xf>
    <xf numFmtId="3" fontId="10" fillId="24" borderId="32" xfId="0" applyNumberFormat="1" applyFont="1" applyFill="1" applyBorder="1" applyAlignment="1">
      <alignment/>
    </xf>
    <xf numFmtId="3" fontId="10" fillId="24" borderId="41" xfId="0" applyNumberFormat="1" applyFont="1" applyFill="1" applyBorder="1" applyAlignment="1">
      <alignment/>
    </xf>
    <xf numFmtId="0" fontId="9" fillId="0" borderId="16" xfId="0" applyFont="1" applyFill="1" applyBorder="1" applyAlignment="1">
      <alignment horizontal="left" wrapText="1"/>
    </xf>
    <xf numFmtId="3" fontId="0" fillId="0" borderId="18" xfId="0" applyNumberFormat="1" applyFont="1" applyBorder="1" applyAlignment="1">
      <alignment/>
    </xf>
    <xf numFmtId="0" fontId="31" fillId="0" borderId="14" xfId="0" applyFont="1" applyFill="1" applyBorder="1" applyAlignment="1">
      <alignment horizontal="center" vertical="center" wrapText="1"/>
    </xf>
    <xf numFmtId="0" fontId="30" fillId="0" borderId="0" xfId="0" applyFont="1" applyAlignment="1">
      <alignment wrapText="1"/>
    </xf>
    <xf numFmtId="3" fontId="0" fillId="0" borderId="0" xfId="0" applyNumberFormat="1" applyBorder="1" applyAlignment="1">
      <alignment/>
    </xf>
    <xf numFmtId="3" fontId="1" fillId="0" borderId="0" xfId="0" applyNumberFormat="1" applyFont="1" applyAlignment="1">
      <alignment/>
    </xf>
    <xf numFmtId="49" fontId="9" fillId="0" borderId="0" xfId="0" applyNumberFormat="1" applyFont="1" applyFill="1" applyBorder="1" applyAlignment="1">
      <alignment horizontal="left"/>
    </xf>
    <xf numFmtId="3" fontId="9" fillId="0" borderId="36" xfId="0" applyNumberFormat="1" applyFont="1" applyFill="1" applyBorder="1" applyAlignment="1">
      <alignment/>
    </xf>
    <xf numFmtId="0" fontId="9" fillId="0" borderId="38" xfId="58" applyFont="1" applyFill="1" applyBorder="1" applyAlignment="1">
      <alignment horizontal="left" wrapText="1"/>
      <protection/>
    </xf>
    <xf numFmtId="0" fontId="9" fillId="0" borderId="25" xfId="0" applyFont="1" applyFill="1" applyBorder="1" applyAlignment="1">
      <alignment wrapText="1"/>
    </xf>
    <xf numFmtId="1" fontId="2" fillId="0" borderId="41" xfId="0" applyNumberFormat="1" applyFont="1" applyFill="1" applyBorder="1" applyAlignment="1">
      <alignment/>
    </xf>
    <xf numFmtId="1" fontId="2" fillId="0" borderId="33" xfId="0" applyNumberFormat="1" applyFont="1" applyFill="1" applyBorder="1" applyAlignment="1">
      <alignment/>
    </xf>
    <xf numFmtId="1" fontId="9" fillId="0" borderId="33" xfId="0" applyNumberFormat="1" applyFont="1" applyFill="1" applyBorder="1" applyAlignment="1">
      <alignment/>
    </xf>
    <xf numFmtId="0" fontId="9" fillId="0" borderId="17" xfId="0" applyFont="1" applyFill="1" applyBorder="1" applyAlignment="1">
      <alignment/>
    </xf>
    <xf numFmtId="1" fontId="9" fillId="0" borderId="17" xfId="0" applyNumberFormat="1" applyFont="1" applyFill="1" applyBorder="1" applyAlignment="1">
      <alignment/>
    </xf>
    <xf numFmtId="0" fontId="10" fillId="0" borderId="38" xfId="0" applyFont="1" applyFill="1" applyBorder="1" applyAlignment="1">
      <alignment/>
    </xf>
    <xf numFmtId="3" fontId="9" fillId="0" borderId="61" xfId="0" applyNumberFormat="1" applyFont="1" applyFill="1" applyBorder="1" applyAlignment="1">
      <alignment/>
    </xf>
    <xf numFmtId="3" fontId="10" fillId="0" borderId="62" xfId="0" applyNumberFormat="1" applyFont="1" applyFill="1" applyBorder="1" applyAlignment="1">
      <alignment/>
    </xf>
    <xf numFmtId="0" fontId="9" fillId="0" borderId="60" xfId="0" applyFont="1" applyFill="1" applyBorder="1" applyAlignment="1">
      <alignment horizontal="right" wrapText="1"/>
    </xf>
    <xf numFmtId="3" fontId="1" fillId="0" borderId="14" xfId="0" applyNumberFormat="1" applyFont="1" applyFill="1" applyBorder="1" applyAlignment="1">
      <alignment/>
    </xf>
    <xf numFmtId="3" fontId="31" fillId="0" borderId="0" xfId="0" applyNumberFormat="1" applyFont="1" applyBorder="1" applyAlignment="1">
      <alignment/>
    </xf>
    <xf numFmtId="0" fontId="9" fillId="25" borderId="16" xfId="58" applyFont="1" applyFill="1" applyBorder="1" applyAlignment="1">
      <alignment horizontal="right" wrapText="1"/>
      <protection/>
    </xf>
    <xf numFmtId="0" fontId="9" fillId="25" borderId="30" xfId="0" applyFont="1" applyFill="1" applyBorder="1" applyAlignment="1">
      <alignment horizontal="left" wrapText="1"/>
    </xf>
    <xf numFmtId="0" fontId="53" fillId="0" borderId="0" xfId="57" applyFont="1" applyFill="1" applyBorder="1" applyAlignment="1">
      <alignment horizontal="left" wrapText="1"/>
      <protection/>
    </xf>
    <xf numFmtId="3" fontId="57" fillId="0" borderId="0" xfId="0" applyNumberFormat="1" applyFont="1" applyFill="1" applyBorder="1" applyAlignment="1">
      <alignment/>
    </xf>
    <xf numFmtId="0" fontId="9" fillId="0" borderId="22" xfId="0" applyFont="1" applyFill="1" applyBorder="1" applyAlignment="1">
      <alignment horizontal="right" wrapText="1"/>
    </xf>
    <xf numFmtId="0" fontId="9" fillId="0" borderId="30" xfId="0" applyFont="1" applyBorder="1" applyAlignment="1">
      <alignment horizontal="right" wrapText="1"/>
    </xf>
    <xf numFmtId="0" fontId="2" fillId="0" borderId="0" xfId="0" applyFont="1" applyFill="1" applyBorder="1" applyAlignment="1">
      <alignment/>
    </xf>
    <xf numFmtId="3" fontId="10" fillId="24" borderId="33" xfId="0" applyNumberFormat="1" applyFont="1" applyFill="1" applyBorder="1" applyAlignment="1">
      <alignment/>
    </xf>
    <xf numFmtId="0" fontId="58" fillId="0" borderId="0" xfId="0" applyFont="1" applyBorder="1" applyAlignment="1">
      <alignment/>
    </xf>
    <xf numFmtId="0" fontId="9" fillId="0" borderId="0" xfId="0" applyFont="1" applyBorder="1" applyAlignment="1">
      <alignment wrapText="1"/>
    </xf>
    <xf numFmtId="49" fontId="2" fillId="0" borderId="0" xfId="0" applyNumberFormat="1" applyFont="1" applyFill="1" applyBorder="1" applyAlignment="1">
      <alignment horizontal="right"/>
    </xf>
    <xf numFmtId="0" fontId="41" fillId="0" borderId="14" xfId="0" applyFont="1" applyFill="1" applyBorder="1" applyAlignment="1">
      <alignment horizontal="center" wrapText="1"/>
    </xf>
    <xf numFmtId="0" fontId="41" fillId="0" borderId="18" xfId="0" applyFont="1" applyFill="1" applyBorder="1" applyAlignment="1">
      <alignment wrapText="1"/>
    </xf>
    <xf numFmtId="49" fontId="9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Alignment="1">
      <alignment horizontal="right"/>
    </xf>
    <xf numFmtId="49" fontId="9" fillId="0" borderId="0" xfId="0" applyNumberFormat="1" applyFont="1" applyFill="1" applyBorder="1" applyAlignment="1">
      <alignment/>
    </xf>
    <xf numFmtId="3" fontId="10" fillId="25" borderId="22" xfId="0" applyNumberFormat="1" applyFont="1" applyFill="1" applyBorder="1" applyAlignment="1">
      <alignment/>
    </xf>
    <xf numFmtId="1" fontId="2" fillId="25" borderId="14" xfId="0" applyNumberFormat="1" applyFont="1" applyFill="1" applyBorder="1" applyAlignment="1">
      <alignment/>
    </xf>
    <xf numFmtId="0" fontId="9" fillId="25" borderId="37" xfId="60" applyFont="1" applyFill="1" applyBorder="1" applyAlignment="1">
      <alignment horizontal="center" vertical="center" wrapText="1"/>
      <protection/>
    </xf>
    <xf numFmtId="0" fontId="9" fillId="25" borderId="13" xfId="0" applyFont="1" applyFill="1" applyBorder="1" applyAlignment="1" applyProtection="1">
      <alignment horizontal="center" vertical="center" wrapText="1"/>
      <protection/>
    </xf>
    <xf numFmtId="0" fontId="9" fillId="25" borderId="13" xfId="61" applyFont="1" applyFill="1" applyBorder="1" applyAlignment="1">
      <alignment vertical="center" wrapText="1"/>
      <protection/>
    </xf>
    <xf numFmtId="0" fontId="4" fillId="25" borderId="18" xfId="0" applyFont="1" applyFill="1" applyBorder="1" applyAlignment="1">
      <alignment/>
    </xf>
    <xf numFmtId="0" fontId="4" fillId="25" borderId="14" xfId="0" applyFont="1" applyFill="1" applyBorder="1" applyAlignment="1">
      <alignment/>
    </xf>
    <xf numFmtId="3" fontId="2" fillId="25" borderId="21" xfId="0" applyNumberFormat="1" applyFont="1" applyFill="1" applyBorder="1" applyAlignment="1">
      <alignment/>
    </xf>
    <xf numFmtId="3" fontId="31" fillId="25" borderId="14" xfId="0" applyNumberFormat="1" applyFont="1" applyFill="1" applyBorder="1" applyAlignment="1">
      <alignment horizontal="center"/>
    </xf>
    <xf numFmtId="3" fontId="10" fillId="25" borderId="14" xfId="0" applyNumberFormat="1" applyFont="1" applyFill="1" applyBorder="1" applyAlignment="1">
      <alignment horizontal="right"/>
    </xf>
    <xf numFmtId="3" fontId="45" fillId="25" borderId="14" xfId="0" applyNumberFormat="1" applyFont="1" applyFill="1" applyBorder="1" applyAlignment="1">
      <alignment horizontal="right"/>
    </xf>
    <xf numFmtId="3" fontId="9" fillId="25" borderId="14" xfId="0" applyNumberFormat="1" applyFont="1" applyFill="1" applyBorder="1" applyAlignment="1">
      <alignment horizontal="right"/>
    </xf>
    <xf numFmtId="3" fontId="10" fillId="25" borderId="14" xfId="0" applyNumberFormat="1" applyFont="1" applyFill="1" applyBorder="1" applyAlignment="1">
      <alignment/>
    </xf>
    <xf numFmtId="49" fontId="9" fillId="25" borderId="14" xfId="0" applyNumberFormat="1" applyFont="1" applyFill="1" applyBorder="1" applyAlignment="1">
      <alignment horizontal="right"/>
    </xf>
    <xf numFmtId="49" fontId="10" fillId="25" borderId="14" xfId="0" applyNumberFormat="1" applyFont="1" applyFill="1" applyBorder="1" applyAlignment="1">
      <alignment/>
    </xf>
    <xf numFmtId="0" fontId="10" fillId="25" borderId="14" xfId="0" applyFont="1" applyFill="1" applyBorder="1" applyAlignment="1">
      <alignment wrapText="1"/>
    </xf>
    <xf numFmtId="3" fontId="9" fillId="25" borderId="14" xfId="0" applyNumberFormat="1" applyFont="1" applyFill="1" applyBorder="1" applyAlignment="1">
      <alignment/>
    </xf>
    <xf numFmtId="0" fontId="9" fillId="25" borderId="20" xfId="0" applyFont="1" applyFill="1" applyBorder="1" applyAlignment="1">
      <alignment/>
    </xf>
    <xf numFmtId="0" fontId="10" fillId="25" borderId="14" xfId="0" applyFont="1" applyFill="1" applyBorder="1" applyAlignment="1">
      <alignment/>
    </xf>
    <xf numFmtId="0" fontId="10" fillId="25" borderId="0" xfId="0" applyFont="1" applyFill="1" applyBorder="1" applyAlignment="1" applyProtection="1">
      <alignment/>
      <protection/>
    </xf>
    <xf numFmtId="3" fontId="9" fillId="25" borderId="0" xfId="0" applyNumberFormat="1" applyFont="1" applyFill="1" applyAlignment="1">
      <alignment/>
    </xf>
    <xf numFmtId="0" fontId="36" fillId="0" borderId="0" xfId="0" applyFont="1" applyFill="1" applyAlignment="1">
      <alignment horizontal="center"/>
    </xf>
    <xf numFmtId="0" fontId="36" fillId="0" borderId="61" xfId="0" applyFont="1" applyFill="1" applyBorder="1" applyAlignment="1">
      <alignment horizontal="center" wrapText="1"/>
    </xf>
    <xf numFmtId="0" fontId="9" fillId="0" borderId="0" xfId="0" applyFont="1" applyFill="1" applyAlignment="1">
      <alignment horizontal="right"/>
    </xf>
    <xf numFmtId="0" fontId="37" fillId="0" borderId="0" xfId="0" applyFont="1" applyAlignment="1">
      <alignment horizontal="center" wrapText="1"/>
    </xf>
    <xf numFmtId="0" fontId="29" fillId="0" borderId="0" xfId="0" applyFont="1" applyAlignment="1" applyProtection="1">
      <alignment horizontal="center" wrapText="1"/>
      <protection/>
    </xf>
    <xf numFmtId="0" fontId="29" fillId="0" borderId="48" xfId="0" applyFont="1" applyBorder="1" applyAlignment="1">
      <alignment horizontal="center"/>
    </xf>
    <xf numFmtId="0" fontId="9" fillId="0" borderId="0" xfId="0" applyFont="1" applyFill="1" applyBorder="1" applyAlignment="1">
      <alignment horizontal="left" wrapText="1"/>
    </xf>
    <xf numFmtId="0" fontId="31" fillId="0" borderId="14" xfId="0" applyFont="1" applyBorder="1" applyAlignment="1">
      <alignment horizontal="center" vertical="center"/>
    </xf>
    <xf numFmtId="0" fontId="9" fillId="25" borderId="14" xfId="0" applyFont="1" applyFill="1" applyBorder="1" applyAlignment="1">
      <alignment horizontal="left" wrapText="1"/>
    </xf>
    <xf numFmtId="0" fontId="10" fillId="0" borderId="14" xfId="0" applyFont="1" applyBorder="1" applyAlignment="1">
      <alignment horizontal="right"/>
    </xf>
    <xf numFmtId="0" fontId="30" fillId="0" borderId="25" xfId="0" applyFont="1" applyBorder="1" applyAlignment="1">
      <alignment horizontal="left" vertical="center" wrapText="1"/>
    </xf>
    <xf numFmtId="0" fontId="30" fillId="0" borderId="21" xfId="0" applyFont="1" applyBorder="1" applyAlignment="1">
      <alignment horizontal="left" vertical="center" wrapText="1"/>
    </xf>
    <xf numFmtId="0" fontId="30" fillId="0" borderId="25" xfId="0" applyFont="1" applyBorder="1" applyAlignment="1">
      <alignment horizontal="left" wrapText="1"/>
    </xf>
    <xf numFmtId="0" fontId="30" fillId="0" borderId="21" xfId="0" applyFont="1" applyBorder="1" applyAlignment="1">
      <alignment horizontal="left" wrapText="1"/>
    </xf>
    <xf numFmtId="0" fontId="3" fillId="0" borderId="0" xfId="0" applyFont="1" applyAlignment="1">
      <alignment horizontal="center" wrapText="1"/>
    </xf>
    <xf numFmtId="0" fontId="6" fillId="0" borderId="6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2009.g plāns apst 3" xfId="57"/>
    <cellStyle name="Normal_PROJEKTI_2016_PLĀNS_Aija un Inese" xfId="58"/>
    <cellStyle name="Normal_PROJEKTI_2016_PLĀNS_Aija un Inese 2" xfId="59"/>
    <cellStyle name="Normal_Sheet1" xfId="60"/>
    <cellStyle name="Normal_Sheet1_Pielikumi oktobra korekcijam 2" xfId="61"/>
    <cellStyle name="Normal_Specbudz.kopsavilkums 2006.g un korekc. 2" xfId="62"/>
    <cellStyle name="Note" xfId="63"/>
    <cellStyle name="Output" xfId="64"/>
    <cellStyle name="Parasts 2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Dzedzele\AppData\Local\Microsoft\Windows\INetCache\Content.Outlook\VP4LD36I\KOPSAVILKUMS_bud&#382;eta%20t&#257;me_2018.gadam_LAUBE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maksas PB pa smalkajiem EKK"/>
      <sheetName val="Izmaksas PB pa lielajiem EKK"/>
      <sheetName val="Pamatbudžets   "/>
      <sheetName val="Specbudžets"/>
      <sheetName val="Specb pa veidiem"/>
      <sheetName val="Sheet3"/>
    </sheetNames>
    <sheetDataSet>
      <sheetData sheetId="1">
        <row r="4">
          <cell r="D4">
            <v>291365</v>
          </cell>
        </row>
        <row r="5">
          <cell r="D5">
            <v>85687</v>
          </cell>
        </row>
        <row r="10">
          <cell r="D10">
            <v>950</v>
          </cell>
        </row>
        <row r="14">
          <cell r="D14">
            <v>100</v>
          </cell>
        </row>
        <row r="15">
          <cell r="D15">
            <v>750</v>
          </cell>
        </row>
        <row r="18">
          <cell r="D18">
            <v>28016</v>
          </cell>
        </row>
        <row r="19">
          <cell r="D19">
            <v>5500</v>
          </cell>
        </row>
        <row r="20">
          <cell r="D20">
            <v>10735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09"/>
  <sheetViews>
    <sheetView zoomScale="90" zoomScaleNormal="90" zoomScalePageLayoutView="0" workbookViewId="0" topLeftCell="A1">
      <pane xSplit="2" ySplit="7" topLeftCell="C261" activePane="bottomRight" state="frozen"/>
      <selection pane="topLeft" activeCell="A1" sqref="A1"/>
      <selection pane="topRight" activeCell="D1" sqref="D1"/>
      <selection pane="bottomLeft" activeCell="A8" sqref="A8"/>
      <selection pane="bottomRight" activeCell="O274" sqref="O274"/>
    </sheetView>
  </sheetViews>
  <sheetFormatPr defaultColWidth="9.140625" defaultRowHeight="12.75"/>
  <cols>
    <col min="1" max="1" width="11.7109375" style="91" customWidth="1"/>
    <col min="2" max="2" width="41.00390625" style="92" customWidth="1"/>
    <col min="3" max="3" width="11.421875" style="104" customWidth="1"/>
    <col min="4" max="4" width="11.00390625" style="93" customWidth="1"/>
    <col min="5" max="5" width="11.00390625" style="91" customWidth="1"/>
    <col min="6" max="6" width="9.421875" style="91" customWidth="1"/>
    <col min="7" max="7" width="10.140625" style="91" customWidth="1"/>
    <col min="8" max="8" width="9.57421875" style="91" customWidth="1"/>
    <col min="9" max="9" width="10.00390625" style="91" customWidth="1"/>
    <col min="10" max="10" width="10.7109375" style="91" customWidth="1"/>
    <col min="11" max="11" width="10.00390625" style="91" customWidth="1"/>
    <col min="12" max="12" width="9.7109375" style="91" customWidth="1"/>
    <col min="13" max="13" width="10.421875" style="91" customWidth="1"/>
    <col min="14" max="14" width="10.28125" style="91" customWidth="1"/>
    <col min="15" max="17" width="11.7109375" style="94" customWidth="1"/>
    <col min="18" max="18" width="7.7109375" style="91" bestFit="1" customWidth="1"/>
    <col min="19" max="19" width="9.140625" style="104" customWidth="1"/>
    <col min="20" max="20" width="9.140625" style="91" customWidth="1"/>
    <col min="21" max="21" width="11.7109375" style="91" customWidth="1"/>
    <col min="22" max="22" width="13.140625" style="91" customWidth="1"/>
    <col min="23" max="16384" width="9.140625" style="91" customWidth="1"/>
  </cols>
  <sheetData>
    <row r="1" spans="5:6" ht="15">
      <c r="E1" s="451"/>
      <c r="F1" s="451"/>
    </row>
    <row r="2" spans="1:15" ht="15">
      <c r="A2" s="95"/>
      <c r="E2" s="95"/>
      <c r="F2" s="95"/>
      <c r="K2" s="440"/>
      <c r="L2" s="440"/>
      <c r="M2" s="551" t="s">
        <v>24</v>
      </c>
      <c r="N2" s="551"/>
      <c r="O2" s="551"/>
    </row>
    <row r="3" spans="1:15" ht="15">
      <c r="A3" s="95"/>
      <c r="E3" s="95"/>
      <c r="F3" s="95"/>
      <c r="K3" s="440"/>
      <c r="L3" s="551" t="s">
        <v>725</v>
      </c>
      <c r="M3" s="551"/>
      <c r="N3" s="551"/>
      <c r="O3" s="551"/>
    </row>
    <row r="4" spans="11:15" ht="15">
      <c r="K4" s="551" t="s">
        <v>726</v>
      </c>
      <c r="L4" s="551"/>
      <c r="M4" s="551"/>
      <c r="N4" s="551"/>
      <c r="O4" s="551"/>
    </row>
    <row r="5" spans="1:4" ht="20.25">
      <c r="A5" s="549" t="s">
        <v>558</v>
      </c>
      <c r="B5" s="549"/>
      <c r="C5" s="549"/>
      <c r="D5" s="549"/>
    </row>
    <row r="6" spans="1:13" ht="15.75" thickBot="1">
      <c r="A6" s="95"/>
      <c r="B6" s="96"/>
      <c r="C6" s="301"/>
      <c r="M6" s="97"/>
    </row>
    <row r="7" spans="1:19" ht="94.5" customHeight="1" thickBot="1">
      <c r="A7" s="98" t="s">
        <v>22</v>
      </c>
      <c r="B7" s="99" t="s">
        <v>163</v>
      </c>
      <c r="C7" s="219" t="s">
        <v>559</v>
      </c>
      <c r="D7" s="220" t="s">
        <v>664</v>
      </c>
      <c r="E7" s="100" t="s">
        <v>560</v>
      </c>
      <c r="F7" s="100" t="s">
        <v>561</v>
      </c>
      <c r="G7" s="452" t="s">
        <v>562</v>
      </c>
      <c r="H7" s="452" t="s">
        <v>563</v>
      </c>
      <c r="I7" s="452" t="s">
        <v>564</v>
      </c>
      <c r="J7" s="452" t="s">
        <v>565</v>
      </c>
      <c r="K7" s="452" t="s">
        <v>566</v>
      </c>
      <c r="L7" s="452" t="s">
        <v>567</v>
      </c>
      <c r="M7" s="452" t="s">
        <v>568</v>
      </c>
      <c r="N7" s="453" t="s">
        <v>569</v>
      </c>
      <c r="O7" s="454" t="s">
        <v>570</v>
      </c>
      <c r="P7" s="477"/>
      <c r="Q7" s="92"/>
      <c r="R7" s="158"/>
      <c r="S7" s="92"/>
    </row>
    <row r="8" spans="1:19" ht="15.75" thickBot="1">
      <c r="A8" s="101"/>
      <c r="B8" s="102" t="s">
        <v>37</v>
      </c>
      <c r="C8" s="103">
        <f>C9+C12+C17</f>
        <v>25487557</v>
      </c>
      <c r="D8" s="103">
        <f aca="true" t="shared" si="0" ref="D8:N8">D9+D12+D17</f>
        <v>0</v>
      </c>
      <c r="E8" s="103">
        <f t="shared" si="0"/>
        <v>0</v>
      </c>
      <c r="F8" s="122">
        <f t="shared" si="0"/>
        <v>0</v>
      </c>
      <c r="G8" s="103">
        <f t="shared" si="0"/>
        <v>101800</v>
      </c>
      <c r="H8" s="103">
        <f>H9+H12+H17</f>
        <v>47270</v>
      </c>
      <c r="I8" s="103">
        <f>I9+I12+I17</f>
        <v>44700</v>
      </c>
      <c r="J8" s="103">
        <f t="shared" si="0"/>
        <v>89302</v>
      </c>
      <c r="K8" s="103">
        <f t="shared" si="0"/>
        <v>49000</v>
      </c>
      <c r="L8" s="103">
        <f t="shared" si="0"/>
        <v>40169</v>
      </c>
      <c r="M8" s="103">
        <f t="shared" si="0"/>
        <v>41919</v>
      </c>
      <c r="N8" s="103">
        <f t="shared" si="0"/>
        <v>55230</v>
      </c>
      <c r="O8" s="302">
        <f aca="true" t="shared" si="1" ref="O8:O48">SUM(C8:N8)</f>
        <v>25956947</v>
      </c>
      <c r="P8" s="59"/>
      <c r="Q8" s="59"/>
      <c r="R8" s="248"/>
      <c r="S8" s="455"/>
    </row>
    <row r="9" spans="1:19" ht="15">
      <c r="A9" s="105" t="s">
        <v>38</v>
      </c>
      <c r="B9" s="106" t="s">
        <v>164</v>
      </c>
      <c r="C9" s="107">
        <f>SUM(C10:C11)</f>
        <v>23718601</v>
      </c>
      <c r="D9" s="107">
        <f aca="true" t="shared" si="2" ref="D9:N9">SUM(D10:D11)</f>
        <v>0</v>
      </c>
      <c r="E9" s="107">
        <f t="shared" si="2"/>
        <v>0</v>
      </c>
      <c r="F9" s="123">
        <f t="shared" si="2"/>
        <v>0</v>
      </c>
      <c r="G9" s="107">
        <f t="shared" si="2"/>
        <v>0</v>
      </c>
      <c r="H9" s="107">
        <f t="shared" si="2"/>
        <v>0</v>
      </c>
      <c r="I9" s="107">
        <f t="shared" si="2"/>
        <v>0</v>
      </c>
      <c r="J9" s="107">
        <f t="shared" si="2"/>
        <v>0</v>
      </c>
      <c r="K9" s="107">
        <f t="shared" si="2"/>
        <v>0</v>
      </c>
      <c r="L9" s="107">
        <f t="shared" si="2"/>
        <v>0</v>
      </c>
      <c r="M9" s="107">
        <f t="shared" si="2"/>
        <v>0</v>
      </c>
      <c r="N9" s="107">
        <f t="shared" si="2"/>
        <v>0</v>
      </c>
      <c r="O9" s="303">
        <f t="shared" si="1"/>
        <v>23718601</v>
      </c>
      <c r="P9" s="59"/>
      <c r="Q9" s="59"/>
      <c r="R9" s="248"/>
      <c r="S9" s="455"/>
    </row>
    <row r="10" spans="1:19" ht="45">
      <c r="A10" s="108" t="s">
        <v>39</v>
      </c>
      <c r="B10" s="109" t="s">
        <v>165</v>
      </c>
      <c r="C10" s="37">
        <v>176450</v>
      </c>
      <c r="D10" s="37"/>
      <c r="E10" s="37"/>
      <c r="F10" s="110"/>
      <c r="G10" s="37"/>
      <c r="H10" s="37"/>
      <c r="I10" s="37"/>
      <c r="J10" s="37"/>
      <c r="K10" s="37"/>
      <c r="L10" s="37"/>
      <c r="M10" s="37"/>
      <c r="N10" s="37"/>
      <c r="O10" s="303">
        <f t="shared" si="1"/>
        <v>176450</v>
      </c>
      <c r="P10" s="59"/>
      <c r="Q10" s="59"/>
      <c r="R10" s="248"/>
      <c r="S10" s="455"/>
    </row>
    <row r="11" spans="1:19" ht="30">
      <c r="A11" s="108" t="s">
        <v>40</v>
      </c>
      <c r="B11" s="109" t="s">
        <v>166</v>
      </c>
      <c r="C11" s="37">
        <v>23542151</v>
      </c>
      <c r="D11" s="37"/>
      <c r="E11" s="112"/>
      <c r="F11" s="110"/>
      <c r="G11" s="37"/>
      <c r="H11" s="37"/>
      <c r="I11" s="37"/>
      <c r="J11" s="37"/>
      <c r="K11" s="37"/>
      <c r="L11" s="37"/>
      <c r="M11" s="37"/>
      <c r="N11" s="37"/>
      <c r="O11" s="303">
        <f t="shared" si="1"/>
        <v>23542151</v>
      </c>
      <c r="P11" s="59"/>
      <c r="Q11" s="59"/>
      <c r="R11" s="248"/>
      <c r="S11" s="455"/>
    </row>
    <row r="12" spans="1:19" ht="15">
      <c r="A12" s="113" t="s">
        <v>167</v>
      </c>
      <c r="B12" s="109" t="s">
        <v>168</v>
      </c>
      <c r="C12" s="37">
        <f>C13</f>
        <v>1698956</v>
      </c>
      <c r="D12" s="37"/>
      <c r="E12" s="37"/>
      <c r="F12" s="110"/>
      <c r="G12" s="37">
        <f>G13</f>
        <v>101800</v>
      </c>
      <c r="H12" s="111">
        <f aca="true" t="shared" si="3" ref="H12:N12">H13</f>
        <v>47270</v>
      </c>
      <c r="I12" s="111">
        <f t="shared" si="3"/>
        <v>44700</v>
      </c>
      <c r="J12" s="111">
        <f t="shared" si="3"/>
        <v>89302</v>
      </c>
      <c r="K12" s="111">
        <f t="shared" si="3"/>
        <v>49000</v>
      </c>
      <c r="L12" s="111">
        <f t="shared" si="3"/>
        <v>40169</v>
      </c>
      <c r="M12" s="111">
        <f t="shared" si="3"/>
        <v>41919</v>
      </c>
      <c r="N12" s="111">
        <f t="shared" si="3"/>
        <v>55230</v>
      </c>
      <c r="O12" s="303">
        <f t="shared" si="1"/>
        <v>2168346</v>
      </c>
      <c r="P12" s="59"/>
      <c r="Q12" s="59"/>
      <c r="R12" s="248"/>
      <c r="S12" s="455"/>
    </row>
    <row r="13" spans="1:19" ht="15">
      <c r="A13" s="113" t="s">
        <v>41</v>
      </c>
      <c r="B13" s="109" t="s">
        <v>42</v>
      </c>
      <c r="C13" s="37">
        <f>SUM(C14:C16)</f>
        <v>1698956</v>
      </c>
      <c r="D13" s="37"/>
      <c r="E13" s="37"/>
      <c r="F13" s="110"/>
      <c r="G13" s="37">
        <f>SUM(G14:G16)</f>
        <v>101800</v>
      </c>
      <c r="H13" s="37">
        <f aca="true" t="shared" si="4" ref="H13:N13">SUM(H14:H16)</f>
        <v>47270</v>
      </c>
      <c r="I13" s="37">
        <f t="shared" si="4"/>
        <v>44700</v>
      </c>
      <c r="J13" s="37">
        <f>SUM(J14:J16)</f>
        <v>89302</v>
      </c>
      <c r="K13" s="37">
        <f t="shared" si="4"/>
        <v>49000</v>
      </c>
      <c r="L13" s="37">
        <f t="shared" si="4"/>
        <v>40169</v>
      </c>
      <c r="M13" s="37">
        <f t="shared" si="4"/>
        <v>41919</v>
      </c>
      <c r="N13" s="37">
        <f t="shared" si="4"/>
        <v>55230</v>
      </c>
      <c r="O13" s="303">
        <f t="shared" si="1"/>
        <v>2168346</v>
      </c>
      <c r="P13" s="59"/>
      <c r="Q13" s="59"/>
      <c r="R13" s="248"/>
      <c r="S13" s="455"/>
    </row>
    <row r="14" spans="1:21" ht="15">
      <c r="A14" s="108" t="s">
        <v>25</v>
      </c>
      <c r="B14" s="109" t="s">
        <v>43</v>
      </c>
      <c r="C14" s="111">
        <v>752703</v>
      </c>
      <c r="D14" s="114"/>
      <c r="E14" s="114"/>
      <c r="F14" s="249"/>
      <c r="G14" s="221">
        <v>90500</v>
      </c>
      <c r="H14" s="114">
        <v>42360</v>
      </c>
      <c r="I14" s="221">
        <v>40000</v>
      </c>
      <c r="J14" s="114">
        <v>81121</v>
      </c>
      <c r="K14" s="114">
        <v>45000</v>
      </c>
      <c r="L14" s="115">
        <v>37623</v>
      </c>
      <c r="M14" s="115">
        <v>40439</v>
      </c>
      <c r="N14" s="114">
        <v>52728</v>
      </c>
      <c r="O14" s="303">
        <f t="shared" si="1"/>
        <v>1182474</v>
      </c>
      <c r="P14" s="59"/>
      <c r="Q14" s="59"/>
      <c r="R14" s="248"/>
      <c r="S14" s="455"/>
      <c r="U14" s="104"/>
    </row>
    <row r="15" spans="1:21" ht="15">
      <c r="A15" s="108" t="s">
        <v>26</v>
      </c>
      <c r="B15" s="109" t="s">
        <v>44</v>
      </c>
      <c r="C15" s="111">
        <f>541052+65170</f>
        <v>606222</v>
      </c>
      <c r="D15" s="114"/>
      <c r="E15" s="114"/>
      <c r="F15" s="249"/>
      <c r="G15" s="221">
        <v>4950</v>
      </c>
      <c r="H15" s="114">
        <v>2950</v>
      </c>
      <c r="I15" s="221">
        <v>2200</v>
      </c>
      <c r="J15" s="114">
        <v>3370</v>
      </c>
      <c r="K15" s="114">
        <v>4000</v>
      </c>
      <c r="L15" s="114">
        <v>2546</v>
      </c>
      <c r="M15" s="114">
        <v>256</v>
      </c>
      <c r="N15" s="114">
        <v>402</v>
      </c>
      <c r="O15" s="303">
        <f t="shared" si="1"/>
        <v>626896</v>
      </c>
      <c r="P15" s="59"/>
      <c r="Q15" s="59"/>
      <c r="R15" s="248"/>
      <c r="S15" s="455"/>
      <c r="U15" s="104"/>
    </row>
    <row r="16" spans="1:21" ht="15">
      <c r="A16" s="108" t="s">
        <v>238</v>
      </c>
      <c r="B16" s="109" t="s">
        <v>239</v>
      </c>
      <c r="C16" s="111">
        <v>340031</v>
      </c>
      <c r="D16" s="114"/>
      <c r="E16" s="114"/>
      <c r="F16" s="249"/>
      <c r="G16" s="221">
        <v>6350</v>
      </c>
      <c r="H16" s="114">
        <v>1960</v>
      </c>
      <c r="I16" s="221">
        <v>2500</v>
      </c>
      <c r="J16" s="114">
        <v>4811</v>
      </c>
      <c r="K16" s="114"/>
      <c r="L16" s="114"/>
      <c r="M16" s="114">
        <v>1224</v>
      </c>
      <c r="N16" s="114">
        <v>2100</v>
      </c>
      <c r="O16" s="303">
        <f t="shared" si="1"/>
        <v>358976</v>
      </c>
      <c r="P16" s="59"/>
      <c r="Q16" s="59"/>
      <c r="R16" s="248"/>
      <c r="S16" s="455"/>
      <c r="U16" s="104"/>
    </row>
    <row r="17" spans="1:19" ht="15.75" thickBot="1">
      <c r="A17" s="116" t="s">
        <v>27</v>
      </c>
      <c r="B17" s="117" t="s">
        <v>45</v>
      </c>
      <c r="C17" s="118">
        <v>70000</v>
      </c>
      <c r="D17" s="118"/>
      <c r="E17" s="118"/>
      <c r="F17" s="119"/>
      <c r="G17" s="120"/>
      <c r="H17" s="120"/>
      <c r="I17" s="120"/>
      <c r="J17" s="121"/>
      <c r="K17" s="121"/>
      <c r="L17" s="121"/>
      <c r="M17" s="121"/>
      <c r="N17" s="222"/>
      <c r="O17" s="304">
        <f t="shared" si="1"/>
        <v>70000</v>
      </c>
      <c r="P17" s="59"/>
      <c r="Q17" s="59"/>
      <c r="R17" s="248"/>
      <c r="S17" s="455"/>
    </row>
    <row r="18" spans="1:19" ht="15.75" thickBot="1">
      <c r="A18" s="101"/>
      <c r="B18" s="102" t="s">
        <v>46</v>
      </c>
      <c r="C18" s="103">
        <f>SUM(C19:C26)</f>
        <v>146881</v>
      </c>
      <c r="D18" s="103">
        <f aca="true" t="shared" si="5" ref="D18:N18">SUM(D19:D26)</f>
        <v>2400</v>
      </c>
      <c r="E18" s="103">
        <f t="shared" si="5"/>
        <v>0</v>
      </c>
      <c r="F18" s="103">
        <f t="shared" si="5"/>
        <v>0</v>
      </c>
      <c r="G18" s="103">
        <f t="shared" si="5"/>
        <v>4700</v>
      </c>
      <c r="H18" s="103">
        <f t="shared" si="5"/>
        <v>3300</v>
      </c>
      <c r="I18" s="103">
        <f t="shared" si="5"/>
        <v>150</v>
      </c>
      <c r="J18" s="103">
        <f t="shared" si="5"/>
        <v>4808</v>
      </c>
      <c r="K18" s="103">
        <f t="shared" si="5"/>
        <v>40</v>
      </c>
      <c r="L18" s="103">
        <f t="shared" si="5"/>
        <v>4940</v>
      </c>
      <c r="M18" s="103">
        <f t="shared" si="5"/>
        <v>1100</v>
      </c>
      <c r="N18" s="103">
        <f t="shared" si="5"/>
        <v>129</v>
      </c>
      <c r="O18" s="302">
        <f t="shared" si="1"/>
        <v>168448</v>
      </c>
      <c r="P18" s="59"/>
      <c r="Q18" s="59"/>
      <c r="R18" s="248"/>
      <c r="S18" s="455"/>
    </row>
    <row r="19" spans="1:19" ht="15">
      <c r="A19" s="105" t="s">
        <v>571</v>
      </c>
      <c r="B19" s="201" t="s">
        <v>572</v>
      </c>
      <c r="C19" s="456">
        <v>60000</v>
      </c>
      <c r="D19" s="202"/>
      <c r="E19" s="202"/>
      <c r="F19" s="165"/>
      <c r="G19" s="202"/>
      <c r="H19" s="165"/>
      <c r="I19" s="165"/>
      <c r="J19" s="165"/>
      <c r="K19" s="165"/>
      <c r="L19" s="165"/>
      <c r="M19" s="165"/>
      <c r="N19" s="165"/>
      <c r="O19" s="303">
        <f t="shared" si="1"/>
        <v>60000</v>
      </c>
      <c r="P19" s="59"/>
      <c r="Q19" s="59"/>
      <c r="R19" s="248"/>
      <c r="S19" s="455"/>
    </row>
    <row r="20" spans="1:19" ht="30">
      <c r="A20" s="105" t="s">
        <v>169</v>
      </c>
      <c r="B20" s="106" t="s">
        <v>170</v>
      </c>
      <c r="C20" s="107"/>
      <c r="D20" s="107"/>
      <c r="E20" s="107"/>
      <c r="F20" s="123"/>
      <c r="G20" s="125"/>
      <c r="H20" s="125"/>
      <c r="I20" s="126"/>
      <c r="J20" s="126">
        <v>150</v>
      </c>
      <c r="K20" s="126"/>
      <c r="L20" s="126"/>
      <c r="M20" s="126"/>
      <c r="N20" s="147"/>
      <c r="O20" s="303">
        <f t="shared" si="1"/>
        <v>150</v>
      </c>
      <c r="P20" s="59"/>
      <c r="Q20" s="59"/>
      <c r="R20" s="248"/>
      <c r="S20" s="455"/>
    </row>
    <row r="21" spans="1:19" ht="30">
      <c r="A21" s="113" t="s">
        <v>47</v>
      </c>
      <c r="B21" s="109" t="s">
        <v>48</v>
      </c>
      <c r="C21" s="37">
        <v>10920</v>
      </c>
      <c r="D21" s="37"/>
      <c r="E21" s="37"/>
      <c r="F21" s="110"/>
      <c r="G21" s="115"/>
      <c r="H21" s="115">
        <v>200</v>
      </c>
      <c r="I21" s="127">
        <v>150</v>
      </c>
      <c r="J21" s="127">
        <v>2200</v>
      </c>
      <c r="K21" s="127">
        <v>40</v>
      </c>
      <c r="L21" s="127">
        <v>240</v>
      </c>
      <c r="M21" s="127">
        <v>300</v>
      </c>
      <c r="N21" s="130">
        <v>100</v>
      </c>
      <c r="O21" s="303">
        <f t="shared" si="1"/>
        <v>14150</v>
      </c>
      <c r="P21" s="59"/>
      <c r="Q21" s="59"/>
      <c r="R21" s="248"/>
      <c r="S21" s="455"/>
    </row>
    <row r="22" spans="1:19" ht="15">
      <c r="A22" s="113" t="s">
        <v>29</v>
      </c>
      <c r="B22" s="109" t="s">
        <v>28</v>
      </c>
      <c r="C22" s="37">
        <v>16200</v>
      </c>
      <c r="D22" s="37">
        <v>2400</v>
      </c>
      <c r="E22" s="37"/>
      <c r="F22" s="110"/>
      <c r="G22" s="115">
        <v>2000</v>
      </c>
      <c r="H22" s="115">
        <v>100</v>
      </c>
      <c r="I22" s="127"/>
      <c r="J22" s="127">
        <v>1658</v>
      </c>
      <c r="K22" s="127"/>
      <c r="L22" s="127">
        <v>200</v>
      </c>
      <c r="M22" s="127">
        <v>100</v>
      </c>
      <c r="N22" s="130">
        <v>29</v>
      </c>
      <c r="O22" s="303">
        <f t="shared" si="1"/>
        <v>22687</v>
      </c>
      <c r="P22" s="59"/>
      <c r="Q22" s="59"/>
      <c r="R22" s="248"/>
      <c r="S22" s="455"/>
    </row>
    <row r="23" spans="1:19" ht="15">
      <c r="A23" s="113" t="s">
        <v>429</v>
      </c>
      <c r="B23" s="109" t="s">
        <v>455</v>
      </c>
      <c r="C23" s="37"/>
      <c r="D23" s="37"/>
      <c r="E23" s="37"/>
      <c r="F23" s="110"/>
      <c r="G23" s="115"/>
      <c r="H23" s="115"/>
      <c r="I23" s="127"/>
      <c r="J23" s="127"/>
      <c r="K23" s="127"/>
      <c r="L23" s="127"/>
      <c r="M23" s="127"/>
      <c r="N23" s="130"/>
      <c r="O23" s="303">
        <f t="shared" si="1"/>
        <v>0</v>
      </c>
      <c r="P23" s="59"/>
      <c r="Q23" s="59"/>
      <c r="R23" s="248"/>
      <c r="S23" s="455"/>
    </row>
    <row r="24" spans="1:19" ht="15">
      <c r="A24" s="113" t="s">
        <v>171</v>
      </c>
      <c r="B24" s="109" t="s">
        <v>172</v>
      </c>
      <c r="C24" s="37">
        <f>31000+1300</f>
        <v>32300</v>
      </c>
      <c r="D24" s="37"/>
      <c r="E24" s="37"/>
      <c r="F24" s="110"/>
      <c r="G24" s="115">
        <v>200</v>
      </c>
      <c r="H24" s="115"/>
      <c r="I24" s="127"/>
      <c r="J24" s="127">
        <v>800</v>
      </c>
      <c r="K24" s="127"/>
      <c r="L24" s="127"/>
      <c r="M24" s="127"/>
      <c r="N24" s="130"/>
      <c r="O24" s="303">
        <f t="shared" si="1"/>
        <v>33300</v>
      </c>
      <c r="P24" s="59"/>
      <c r="Q24" s="59"/>
      <c r="R24" s="248"/>
      <c r="S24" s="455"/>
    </row>
    <row r="25" spans="1:19" ht="15">
      <c r="A25" s="113" t="s">
        <v>573</v>
      </c>
      <c r="B25" s="109" t="s">
        <v>49</v>
      </c>
      <c r="C25" s="37">
        <f>25500+1961</f>
        <v>27461</v>
      </c>
      <c r="D25" s="37"/>
      <c r="E25" s="37"/>
      <c r="F25" s="110"/>
      <c r="G25" s="115"/>
      <c r="H25" s="115"/>
      <c r="I25" s="127"/>
      <c r="J25" s="127"/>
      <c r="K25" s="127"/>
      <c r="L25" s="127"/>
      <c r="M25" s="127">
        <v>700</v>
      </c>
      <c r="N25" s="130"/>
      <c r="O25" s="303">
        <f t="shared" si="1"/>
        <v>28161</v>
      </c>
      <c r="P25" s="59"/>
      <c r="Q25" s="59"/>
      <c r="R25" s="248"/>
      <c r="S25" s="455"/>
    </row>
    <row r="26" spans="1:19" ht="27.75" customHeight="1">
      <c r="A26" s="113" t="s">
        <v>154</v>
      </c>
      <c r="B26" s="109" t="s">
        <v>345</v>
      </c>
      <c r="C26" s="37"/>
      <c r="D26" s="37"/>
      <c r="E26" s="37"/>
      <c r="F26" s="110"/>
      <c r="G26" s="37">
        <v>2500</v>
      </c>
      <c r="H26" s="110">
        <v>3000</v>
      </c>
      <c r="I26" s="110"/>
      <c r="J26" s="127"/>
      <c r="K26" s="110"/>
      <c r="L26" s="127">
        <v>4500</v>
      </c>
      <c r="M26" s="110"/>
      <c r="N26" s="110"/>
      <c r="O26" s="303">
        <f t="shared" si="1"/>
        <v>10000</v>
      </c>
      <c r="P26" s="59"/>
      <c r="Q26" s="59"/>
      <c r="R26" s="248"/>
      <c r="S26" s="455"/>
    </row>
    <row r="27" spans="1:19" ht="58.5" thickBot="1">
      <c r="A27" s="131" t="s">
        <v>352</v>
      </c>
      <c r="B27" s="208" t="s">
        <v>351</v>
      </c>
      <c r="C27" s="140">
        <v>12487</v>
      </c>
      <c r="D27" s="140"/>
      <c r="E27" s="140"/>
      <c r="F27" s="141"/>
      <c r="G27" s="140"/>
      <c r="H27" s="141"/>
      <c r="I27" s="141"/>
      <c r="J27" s="181"/>
      <c r="K27" s="141"/>
      <c r="L27" s="181"/>
      <c r="M27" s="141"/>
      <c r="N27" s="141"/>
      <c r="O27" s="303">
        <f t="shared" si="1"/>
        <v>12487</v>
      </c>
      <c r="P27" s="59"/>
      <c r="Q27" s="59"/>
      <c r="R27" s="248"/>
      <c r="S27" s="455"/>
    </row>
    <row r="28" spans="1:19" ht="15.75" thickBot="1">
      <c r="A28" s="132" t="s">
        <v>50</v>
      </c>
      <c r="B28" s="102" t="s">
        <v>51</v>
      </c>
      <c r="C28" s="103">
        <f>SUM(C29:C29)</f>
        <v>18299798</v>
      </c>
      <c r="D28" s="103">
        <f aca="true" t="shared" si="6" ref="D28:N28">SUM(D29:D29)</f>
        <v>0</v>
      </c>
      <c r="E28" s="103">
        <f t="shared" si="6"/>
        <v>7100</v>
      </c>
      <c r="F28" s="122">
        <f t="shared" si="6"/>
        <v>0</v>
      </c>
      <c r="G28" s="103">
        <f t="shared" si="6"/>
        <v>0</v>
      </c>
      <c r="H28" s="103">
        <f t="shared" si="6"/>
        <v>0</v>
      </c>
      <c r="I28" s="103">
        <f t="shared" si="6"/>
        <v>0</v>
      </c>
      <c r="J28" s="103">
        <f t="shared" si="6"/>
        <v>70854</v>
      </c>
      <c r="K28" s="103">
        <f t="shared" si="6"/>
        <v>0</v>
      </c>
      <c r="L28" s="103">
        <f t="shared" si="6"/>
        <v>6740</v>
      </c>
      <c r="M28" s="103">
        <f t="shared" si="6"/>
        <v>0</v>
      </c>
      <c r="N28" s="103">
        <f t="shared" si="6"/>
        <v>0</v>
      </c>
      <c r="O28" s="302">
        <f t="shared" si="1"/>
        <v>18384492</v>
      </c>
      <c r="P28" s="59"/>
      <c r="Q28" s="59"/>
      <c r="R28" s="248"/>
      <c r="S28" s="455"/>
    </row>
    <row r="29" spans="1:19" ht="30.75" thickBot="1">
      <c r="A29" s="133" t="s">
        <v>234</v>
      </c>
      <c r="B29" s="134" t="s">
        <v>240</v>
      </c>
      <c r="C29" s="107">
        <f>12655477+45338+2377230+2576989+644764</f>
        <v>18299798</v>
      </c>
      <c r="D29" s="107"/>
      <c r="E29" s="107">
        <v>7100</v>
      </c>
      <c r="F29" s="123"/>
      <c r="G29" s="107"/>
      <c r="H29" s="123"/>
      <c r="I29" s="123"/>
      <c r="J29" s="123">
        <f>48079+22775</f>
        <v>70854</v>
      </c>
      <c r="K29" s="123"/>
      <c r="L29" s="123">
        <v>6740</v>
      </c>
      <c r="M29" s="123"/>
      <c r="N29" s="123"/>
      <c r="O29" s="303">
        <f t="shared" si="1"/>
        <v>18384492</v>
      </c>
      <c r="P29" s="59"/>
      <c r="Q29" s="59"/>
      <c r="R29" s="248"/>
      <c r="S29" s="455"/>
    </row>
    <row r="30" spans="1:19" ht="15.75" thickBot="1">
      <c r="A30" s="132" t="s">
        <v>52</v>
      </c>
      <c r="B30" s="102" t="s">
        <v>53</v>
      </c>
      <c r="C30" s="122">
        <f>SUM(C31:C33)</f>
        <v>600000</v>
      </c>
      <c r="D30" s="122">
        <f aca="true" t="shared" si="7" ref="D30:N30">SUM(D31:D33)</f>
        <v>0</v>
      </c>
      <c r="E30" s="122">
        <f t="shared" si="7"/>
        <v>0</v>
      </c>
      <c r="F30" s="122">
        <f t="shared" si="7"/>
        <v>0</v>
      </c>
      <c r="G30" s="103">
        <f t="shared" si="7"/>
        <v>0</v>
      </c>
      <c r="H30" s="103">
        <f t="shared" si="7"/>
        <v>54915</v>
      </c>
      <c r="I30" s="103">
        <f t="shared" si="7"/>
        <v>0</v>
      </c>
      <c r="J30" s="103">
        <f t="shared" si="7"/>
        <v>150416</v>
      </c>
      <c r="K30" s="103">
        <f t="shared" si="7"/>
        <v>0</v>
      </c>
      <c r="L30" s="103">
        <f t="shared" si="7"/>
        <v>0</v>
      </c>
      <c r="M30" s="103">
        <f t="shared" si="7"/>
        <v>0</v>
      </c>
      <c r="N30" s="103">
        <f t="shared" si="7"/>
        <v>0</v>
      </c>
      <c r="O30" s="302">
        <f t="shared" si="1"/>
        <v>805331</v>
      </c>
      <c r="P30" s="59"/>
      <c r="Q30" s="59"/>
      <c r="R30" s="248"/>
      <c r="S30" s="455"/>
    </row>
    <row r="31" spans="1:19" ht="30">
      <c r="A31" s="105" t="s">
        <v>173</v>
      </c>
      <c r="B31" s="106" t="s">
        <v>241</v>
      </c>
      <c r="C31" s="123"/>
      <c r="D31" s="123"/>
      <c r="E31" s="123"/>
      <c r="F31" s="123"/>
      <c r="G31" s="107"/>
      <c r="H31" s="123"/>
      <c r="I31" s="123"/>
      <c r="J31" s="123"/>
      <c r="K31" s="123"/>
      <c r="L31" s="123"/>
      <c r="M31" s="123"/>
      <c r="N31" s="123"/>
      <c r="O31" s="303">
        <f t="shared" si="1"/>
        <v>0</v>
      </c>
      <c r="P31" s="59"/>
      <c r="Q31" s="59"/>
      <c r="R31" s="248"/>
      <c r="S31" s="455"/>
    </row>
    <row r="32" spans="1:19" ht="30">
      <c r="A32" s="113" t="s">
        <v>54</v>
      </c>
      <c r="B32" s="109" t="s">
        <v>242</v>
      </c>
      <c r="C32" s="110">
        <v>600000</v>
      </c>
      <c r="D32" s="110"/>
      <c r="E32" s="110"/>
      <c r="F32" s="110"/>
      <c r="G32" s="37"/>
      <c r="H32" s="110">
        <v>54915</v>
      </c>
      <c r="I32" s="110"/>
      <c r="J32" s="110">
        <v>150416</v>
      </c>
      <c r="K32" s="110"/>
      <c r="L32" s="37"/>
      <c r="M32" s="110"/>
      <c r="N32" s="110"/>
      <c r="O32" s="303">
        <f t="shared" si="1"/>
        <v>805331</v>
      </c>
      <c r="P32" s="59"/>
      <c r="Q32" s="59"/>
      <c r="R32" s="248"/>
      <c r="S32" s="455"/>
    </row>
    <row r="33" spans="1:19" ht="26.25" customHeight="1" thickBot="1">
      <c r="A33" s="116" t="s">
        <v>55</v>
      </c>
      <c r="B33" s="109" t="s">
        <v>430</v>
      </c>
      <c r="C33" s="118"/>
      <c r="D33" s="118"/>
      <c r="E33" s="118"/>
      <c r="F33" s="119"/>
      <c r="G33" s="223"/>
      <c r="H33" s="118"/>
      <c r="I33" s="298"/>
      <c r="J33" s="118"/>
      <c r="K33" s="119"/>
      <c r="L33" s="135"/>
      <c r="M33" s="224"/>
      <c r="N33" s="225"/>
      <c r="O33" s="304">
        <f t="shared" si="1"/>
        <v>0</v>
      </c>
      <c r="P33" s="59"/>
      <c r="Q33" s="59"/>
      <c r="R33" s="248"/>
      <c r="S33" s="455"/>
    </row>
    <row r="34" spans="1:19" ht="15.75" thickBot="1">
      <c r="A34" s="132" t="s">
        <v>56</v>
      </c>
      <c r="B34" s="102" t="s">
        <v>57</v>
      </c>
      <c r="C34" s="122">
        <f>SUM(C35,C36,C42)</f>
        <v>390656</v>
      </c>
      <c r="D34" s="122">
        <f aca="true" t="shared" si="8" ref="D34:N34">SUM(D35,D36,D42)</f>
        <v>6372792</v>
      </c>
      <c r="E34" s="122">
        <f t="shared" si="8"/>
        <v>158920</v>
      </c>
      <c r="F34" s="122">
        <f t="shared" si="8"/>
        <v>250476</v>
      </c>
      <c r="G34" s="122">
        <f>SUM(G35,G36,G42)</f>
        <v>68130</v>
      </c>
      <c r="H34" s="122">
        <f t="shared" si="8"/>
        <v>101860</v>
      </c>
      <c r="I34" s="122">
        <f t="shared" si="8"/>
        <v>121594</v>
      </c>
      <c r="J34" s="122">
        <f t="shared" si="8"/>
        <v>510714</v>
      </c>
      <c r="K34" s="122">
        <f t="shared" si="8"/>
        <v>11925</v>
      </c>
      <c r="L34" s="122">
        <f t="shared" si="8"/>
        <v>12112</v>
      </c>
      <c r="M34" s="122">
        <f t="shared" si="8"/>
        <v>11800</v>
      </c>
      <c r="N34" s="122">
        <f t="shared" si="8"/>
        <v>37000</v>
      </c>
      <c r="O34" s="302">
        <f t="shared" si="1"/>
        <v>8047979</v>
      </c>
      <c r="P34" s="59"/>
      <c r="Q34" s="59"/>
      <c r="R34" s="248"/>
      <c r="S34" s="455"/>
    </row>
    <row r="35" spans="1:19" ht="31.5">
      <c r="A35" s="136" t="s">
        <v>212</v>
      </c>
      <c r="B35" s="305" t="s">
        <v>213</v>
      </c>
      <c r="C35" s="124">
        <v>6000</v>
      </c>
      <c r="D35" s="107"/>
      <c r="E35" s="123"/>
      <c r="F35" s="123"/>
      <c r="G35" s="137"/>
      <c r="H35" s="137"/>
      <c r="I35" s="126"/>
      <c r="J35" s="126"/>
      <c r="K35" s="126"/>
      <c r="L35" s="126"/>
      <c r="M35" s="126"/>
      <c r="N35" s="147"/>
      <c r="O35" s="303">
        <f t="shared" si="1"/>
        <v>6000</v>
      </c>
      <c r="P35" s="59"/>
      <c r="Q35" s="59"/>
      <c r="R35" s="248"/>
      <c r="S35" s="455"/>
    </row>
    <row r="36" spans="1:19" ht="43.5">
      <c r="A36" s="138" t="s">
        <v>58</v>
      </c>
      <c r="B36" s="139" t="s">
        <v>243</v>
      </c>
      <c r="C36" s="53">
        <f>SUM(C37:C41)</f>
        <v>384656</v>
      </c>
      <c r="D36" s="53">
        <f aca="true" t="shared" si="9" ref="D36:N36">SUM(D37:D41)</f>
        <v>6271510</v>
      </c>
      <c r="E36" s="306">
        <f t="shared" si="9"/>
        <v>158920</v>
      </c>
      <c r="F36" s="167">
        <f t="shared" si="9"/>
        <v>250476</v>
      </c>
      <c r="G36" s="53">
        <f t="shared" si="9"/>
        <v>68130</v>
      </c>
      <c r="H36" s="306">
        <f t="shared" si="9"/>
        <v>99860</v>
      </c>
      <c r="I36" s="53">
        <f t="shared" si="9"/>
        <v>121594</v>
      </c>
      <c r="J36" s="306">
        <f t="shared" si="9"/>
        <v>510714</v>
      </c>
      <c r="K36" s="53">
        <f t="shared" si="9"/>
        <v>7925</v>
      </c>
      <c r="L36" s="306">
        <f t="shared" si="9"/>
        <v>12112</v>
      </c>
      <c r="M36" s="53">
        <f t="shared" si="9"/>
        <v>11800</v>
      </c>
      <c r="N36" s="307">
        <f t="shared" si="9"/>
        <v>37000</v>
      </c>
      <c r="O36" s="303">
        <f t="shared" si="1"/>
        <v>7934697</v>
      </c>
      <c r="P36" s="59"/>
      <c r="Q36" s="59"/>
      <c r="R36" s="248"/>
      <c r="S36" s="455"/>
    </row>
    <row r="37" spans="1:19" ht="15">
      <c r="A37" s="108" t="s">
        <v>174</v>
      </c>
      <c r="B37" s="109" t="s">
        <v>175</v>
      </c>
      <c r="C37" s="111">
        <v>197710</v>
      </c>
      <c r="D37" s="111"/>
      <c r="E37" s="129"/>
      <c r="F37" s="110"/>
      <c r="G37" s="37">
        <v>50500</v>
      </c>
      <c r="H37" s="53"/>
      <c r="I37" s="37"/>
      <c r="J37" s="37">
        <v>71902</v>
      </c>
      <c r="K37" s="53"/>
      <c r="L37" s="53"/>
      <c r="M37" s="53"/>
      <c r="N37" s="167"/>
      <c r="O37" s="303">
        <f t="shared" si="1"/>
        <v>320112</v>
      </c>
      <c r="P37" s="59"/>
      <c r="Q37" s="59"/>
      <c r="R37" s="248"/>
      <c r="S37" s="455"/>
    </row>
    <row r="38" spans="1:19" ht="15">
      <c r="A38" s="108" t="s">
        <v>574</v>
      </c>
      <c r="B38" s="109" t="s">
        <v>431</v>
      </c>
      <c r="C38" s="37"/>
      <c r="D38" s="37"/>
      <c r="E38" s="37"/>
      <c r="F38" s="110"/>
      <c r="G38" s="128"/>
      <c r="H38" s="128"/>
      <c r="I38" s="127"/>
      <c r="J38" s="127"/>
      <c r="K38" s="127"/>
      <c r="L38" s="127"/>
      <c r="M38" s="127"/>
      <c r="N38" s="130"/>
      <c r="O38" s="303">
        <f t="shared" si="1"/>
        <v>0</v>
      </c>
      <c r="P38" s="59"/>
      <c r="Q38" s="59"/>
      <c r="R38" s="248"/>
      <c r="S38" s="455"/>
    </row>
    <row r="39" spans="1:19" ht="30">
      <c r="A39" s="108" t="s">
        <v>176</v>
      </c>
      <c r="B39" s="109" t="s">
        <v>575</v>
      </c>
      <c r="C39" s="37"/>
      <c r="D39" s="37"/>
      <c r="E39" s="37"/>
      <c r="F39" s="110"/>
      <c r="G39" s="128"/>
      <c r="H39" s="115">
        <v>10</v>
      </c>
      <c r="I39" s="127"/>
      <c r="J39" s="127">
        <v>30</v>
      </c>
      <c r="K39" s="127"/>
      <c r="L39" s="127"/>
      <c r="M39" s="127"/>
      <c r="N39" s="130"/>
      <c r="O39" s="303">
        <f t="shared" si="1"/>
        <v>40</v>
      </c>
      <c r="P39" s="59"/>
      <c r="Q39" s="59"/>
      <c r="R39" s="248"/>
      <c r="S39" s="455"/>
    </row>
    <row r="40" spans="1:19" ht="15">
      <c r="A40" s="108" t="s">
        <v>59</v>
      </c>
      <c r="B40" s="109" t="s">
        <v>60</v>
      </c>
      <c r="C40" s="37">
        <f>156547+9099</f>
        <v>165646</v>
      </c>
      <c r="D40" s="37">
        <f>288426-110387</f>
        <v>178039</v>
      </c>
      <c r="E40" s="37">
        <f>62730+795</f>
        <v>63525</v>
      </c>
      <c r="F40" s="110">
        <f>12048+517</f>
        <v>12565</v>
      </c>
      <c r="G40" s="115">
        <v>5000</v>
      </c>
      <c r="H40" s="115">
        <v>8600</v>
      </c>
      <c r="I40" s="115">
        <v>6930</v>
      </c>
      <c r="J40" s="127">
        <v>29789</v>
      </c>
      <c r="K40" s="127">
        <v>1925</v>
      </c>
      <c r="L40" s="127">
        <v>1700</v>
      </c>
      <c r="M40" s="127">
        <v>2800</v>
      </c>
      <c r="N40" s="130">
        <v>5000</v>
      </c>
      <c r="O40" s="303">
        <f t="shared" si="1"/>
        <v>481519</v>
      </c>
      <c r="P40" s="59"/>
      <c r="Q40" s="59"/>
      <c r="R40" s="248"/>
      <c r="S40" s="455"/>
    </row>
    <row r="41" spans="1:19" ht="30">
      <c r="A41" s="108" t="s">
        <v>61</v>
      </c>
      <c r="B41" s="109" t="s">
        <v>62</v>
      </c>
      <c r="C41" s="37">
        <v>21300</v>
      </c>
      <c r="D41" s="37">
        <f>9477929-3384458</f>
        <v>6093471</v>
      </c>
      <c r="E41" s="37">
        <f>95440-45</f>
        <v>95395</v>
      </c>
      <c r="F41" s="110">
        <f>236511+1400</f>
        <v>237911</v>
      </c>
      <c r="G41" s="221">
        <f>8500+4130</f>
        <v>12630</v>
      </c>
      <c r="H41" s="115">
        <v>91250</v>
      </c>
      <c r="I41" s="221">
        <v>114664</v>
      </c>
      <c r="J41" s="114">
        <v>408993</v>
      </c>
      <c r="K41" s="114">
        <v>6000</v>
      </c>
      <c r="L41" s="114">
        <v>10412</v>
      </c>
      <c r="M41" s="114">
        <v>9000</v>
      </c>
      <c r="N41" s="114">
        <v>32000</v>
      </c>
      <c r="O41" s="303">
        <f t="shared" si="1"/>
        <v>7133026</v>
      </c>
      <c r="P41" s="59"/>
      <c r="Q41" s="59"/>
      <c r="R41" s="248"/>
      <c r="S41" s="455"/>
    </row>
    <row r="42" spans="1:19" ht="30" thickBot="1">
      <c r="A42" s="138" t="s">
        <v>375</v>
      </c>
      <c r="B42" s="139" t="s">
        <v>376</v>
      </c>
      <c r="C42" s="140"/>
      <c r="D42" s="140">
        <v>101282</v>
      </c>
      <c r="E42" s="140"/>
      <c r="F42" s="141"/>
      <c r="G42" s="308"/>
      <c r="H42" s="226">
        <v>2000</v>
      </c>
      <c r="I42" s="309"/>
      <c r="J42" s="309"/>
      <c r="K42" s="309">
        <v>4000</v>
      </c>
      <c r="L42" s="309"/>
      <c r="M42" s="309"/>
      <c r="N42" s="309"/>
      <c r="O42" s="303">
        <f t="shared" si="1"/>
        <v>107282</v>
      </c>
      <c r="P42" s="59"/>
      <c r="Q42" s="59"/>
      <c r="R42" s="248"/>
      <c r="S42" s="455"/>
    </row>
    <row r="43" spans="1:19" ht="15.75" thickBot="1">
      <c r="A43" s="142"/>
      <c r="B43" s="143" t="s">
        <v>63</v>
      </c>
      <c r="C43" s="144">
        <f aca="true" t="shared" si="10" ref="C43:N43">SUM(C8+C18+C27+C28+C30+C34)</f>
        <v>44937379</v>
      </c>
      <c r="D43" s="144">
        <f t="shared" si="10"/>
        <v>6375192</v>
      </c>
      <c r="E43" s="144">
        <f t="shared" si="10"/>
        <v>166020</v>
      </c>
      <c r="F43" s="250">
        <f t="shared" si="10"/>
        <v>250476</v>
      </c>
      <c r="G43" s="144">
        <f t="shared" si="10"/>
        <v>174630</v>
      </c>
      <c r="H43" s="144">
        <f t="shared" si="10"/>
        <v>207345</v>
      </c>
      <c r="I43" s="144">
        <f t="shared" si="10"/>
        <v>166444</v>
      </c>
      <c r="J43" s="144">
        <f t="shared" si="10"/>
        <v>826094</v>
      </c>
      <c r="K43" s="144">
        <f t="shared" si="10"/>
        <v>60965</v>
      </c>
      <c r="L43" s="144">
        <f t="shared" si="10"/>
        <v>63961</v>
      </c>
      <c r="M43" s="144">
        <f t="shared" si="10"/>
        <v>54819</v>
      </c>
      <c r="N43" s="144">
        <f t="shared" si="10"/>
        <v>92359</v>
      </c>
      <c r="O43" s="302">
        <f t="shared" si="1"/>
        <v>53375684</v>
      </c>
      <c r="P43" s="59"/>
      <c r="Q43" s="59"/>
      <c r="R43" s="248"/>
      <c r="S43" s="455"/>
    </row>
    <row r="44" spans="1:19" ht="15">
      <c r="A44" s="145" t="s">
        <v>576</v>
      </c>
      <c r="B44" s="146" t="s">
        <v>64</v>
      </c>
      <c r="C44" s="458">
        <v>17140410</v>
      </c>
      <c r="D44" s="107"/>
      <c r="E44" s="107"/>
      <c r="F44" s="123"/>
      <c r="G44" s="125"/>
      <c r="H44" s="137"/>
      <c r="I44" s="126"/>
      <c r="J44" s="126"/>
      <c r="K44" s="126"/>
      <c r="L44" s="126"/>
      <c r="M44" s="147"/>
      <c r="N44" s="126"/>
      <c r="O44" s="475">
        <f t="shared" si="1"/>
        <v>17140410</v>
      </c>
      <c r="P44" s="59"/>
      <c r="Q44" s="59"/>
      <c r="S44" s="455"/>
    </row>
    <row r="45" spans="1:19" ht="15">
      <c r="A45" s="148"/>
      <c r="B45" s="149" t="s">
        <v>65</v>
      </c>
      <c r="C45" s="150">
        <f aca="true" t="shared" si="11" ref="C45:N45">SUM(C43:C44)</f>
        <v>62077789</v>
      </c>
      <c r="D45" s="151">
        <f t="shared" si="11"/>
        <v>6375192</v>
      </c>
      <c r="E45" s="151">
        <f t="shared" si="11"/>
        <v>166020</v>
      </c>
      <c r="F45" s="152">
        <f t="shared" si="11"/>
        <v>250476</v>
      </c>
      <c r="G45" s="151">
        <f t="shared" si="11"/>
        <v>174630</v>
      </c>
      <c r="H45" s="151">
        <f t="shared" si="11"/>
        <v>207345</v>
      </c>
      <c r="I45" s="151">
        <f t="shared" si="11"/>
        <v>166444</v>
      </c>
      <c r="J45" s="151">
        <f t="shared" si="11"/>
        <v>826094</v>
      </c>
      <c r="K45" s="151">
        <f t="shared" si="11"/>
        <v>60965</v>
      </c>
      <c r="L45" s="151">
        <f t="shared" si="11"/>
        <v>63961</v>
      </c>
      <c r="M45" s="152">
        <f t="shared" si="11"/>
        <v>54819</v>
      </c>
      <c r="N45" s="151">
        <f t="shared" si="11"/>
        <v>92359</v>
      </c>
      <c r="O45" s="476">
        <f t="shared" si="1"/>
        <v>70516094</v>
      </c>
      <c r="P45" s="59"/>
      <c r="Q45" s="59"/>
      <c r="S45" s="455"/>
    </row>
    <row r="46" spans="1:19" ht="18" customHeight="1">
      <c r="A46" s="76" t="s">
        <v>368</v>
      </c>
      <c r="B46" s="75" t="s">
        <v>577</v>
      </c>
      <c r="C46" s="459">
        <f>5639829-32894</f>
        <v>5606935</v>
      </c>
      <c r="D46" s="37">
        <v>1424544</v>
      </c>
      <c r="E46" s="37">
        <v>117267</v>
      </c>
      <c r="F46" s="110">
        <v>35099</v>
      </c>
      <c r="G46" s="115">
        <f>175631+23066</f>
        <v>198697</v>
      </c>
      <c r="H46" s="115">
        <v>149905</v>
      </c>
      <c r="I46" s="115">
        <v>143335</v>
      </c>
      <c r="J46" s="127">
        <f>229027+131</f>
        <v>229158</v>
      </c>
      <c r="K46" s="427">
        <f>37490+645</f>
        <v>38135</v>
      </c>
      <c r="L46" s="127">
        <v>16443</v>
      </c>
      <c r="M46" s="130">
        <v>24422</v>
      </c>
      <c r="N46" s="127">
        <v>55424</v>
      </c>
      <c r="O46" s="476">
        <f t="shared" si="1"/>
        <v>8039364</v>
      </c>
      <c r="P46" s="59"/>
      <c r="Q46" s="59"/>
      <c r="S46" s="455"/>
    </row>
    <row r="47" spans="1:19" ht="15">
      <c r="A47" s="76" t="s">
        <v>214</v>
      </c>
      <c r="B47" s="87" t="s">
        <v>215</v>
      </c>
      <c r="C47" s="153"/>
      <c r="D47" s="37"/>
      <c r="E47" s="37"/>
      <c r="F47" s="110"/>
      <c r="G47" s="115"/>
      <c r="H47" s="115"/>
      <c r="I47" s="127"/>
      <c r="J47" s="127"/>
      <c r="K47" s="127"/>
      <c r="L47" s="127"/>
      <c r="M47" s="130"/>
      <c r="N47" s="127"/>
      <c r="O47" s="476">
        <f t="shared" si="1"/>
        <v>0</v>
      </c>
      <c r="P47" s="59"/>
      <c r="Q47" s="59"/>
      <c r="S47" s="455"/>
    </row>
    <row r="48" spans="1:19" ht="15">
      <c r="A48" s="148"/>
      <c r="B48" s="75" t="s">
        <v>66</v>
      </c>
      <c r="C48" s="150">
        <f>SUM(C45:C46)</f>
        <v>67684724</v>
      </c>
      <c r="D48" s="151">
        <f>SUM(D45:D46)</f>
        <v>7799736</v>
      </c>
      <c r="E48" s="151">
        <f>SUM(E45:E46)</f>
        <v>283287</v>
      </c>
      <c r="F48" s="152">
        <f aca="true" t="shared" si="12" ref="F48:N48">SUM(F45:F47)</f>
        <v>285575</v>
      </c>
      <c r="G48" s="151">
        <f t="shared" si="12"/>
        <v>373327</v>
      </c>
      <c r="H48" s="151">
        <f t="shared" si="12"/>
        <v>357250</v>
      </c>
      <c r="I48" s="151">
        <f t="shared" si="12"/>
        <v>309779</v>
      </c>
      <c r="J48" s="151">
        <f t="shared" si="12"/>
        <v>1055252</v>
      </c>
      <c r="K48" s="151">
        <f t="shared" si="12"/>
        <v>99100</v>
      </c>
      <c r="L48" s="151">
        <f t="shared" si="12"/>
        <v>80404</v>
      </c>
      <c r="M48" s="151">
        <f t="shared" si="12"/>
        <v>79241</v>
      </c>
      <c r="N48" s="151">
        <f t="shared" si="12"/>
        <v>147783</v>
      </c>
      <c r="O48" s="476">
        <f t="shared" si="1"/>
        <v>78555458</v>
      </c>
      <c r="P48" s="59"/>
      <c r="Q48" s="59"/>
      <c r="S48" s="455"/>
    </row>
    <row r="49" spans="1:17" ht="15">
      <c r="A49" s="154"/>
      <c r="B49" s="28"/>
      <c r="C49" s="155"/>
      <c r="D49" s="156"/>
      <c r="E49" s="156"/>
      <c r="F49" s="156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</row>
    <row r="50" spans="1:17" ht="15">
      <c r="A50" s="154"/>
      <c r="B50" s="251"/>
      <c r="C50" s="155"/>
      <c r="D50" s="156"/>
      <c r="E50" s="156"/>
      <c r="F50" s="156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</row>
    <row r="51" spans="1:17" ht="15">
      <c r="A51" s="154"/>
      <c r="B51" s="251"/>
      <c r="C51" s="311"/>
      <c r="D51" s="311"/>
      <c r="E51" s="311"/>
      <c r="F51" s="311"/>
      <c r="G51" s="311"/>
      <c r="H51" s="311"/>
      <c r="I51" s="311"/>
      <c r="J51" s="311"/>
      <c r="K51" s="311"/>
      <c r="L51" s="311"/>
      <c r="M51" s="311"/>
      <c r="N51" s="311"/>
      <c r="O51" s="311"/>
      <c r="P51" s="311"/>
      <c r="Q51" s="311"/>
    </row>
    <row r="52" spans="1:17" ht="15">
      <c r="A52" s="154"/>
      <c r="B52" s="28"/>
      <c r="C52" s="312"/>
      <c r="D52" s="156"/>
      <c r="E52" s="156"/>
      <c r="F52" s="156"/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57"/>
    </row>
    <row r="53" spans="2:4" ht="15">
      <c r="B53" s="158" t="s">
        <v>365</v>
      </c>
      <c r="D53" s="93" t="s">
        <v>35</v>
      </c>
    </row>
    <row r="54" ht="15">
      <c r="B54" s="158"/>
    </row>
    <row r="55" ht="15">
      <c r="B55" s="158"/>
    </row>
    <row r="56" spans="1:15" ht="15">
      <c r="A56" s="154"/>
      <c r="B56" s="28"/>
      <c r="D56" s="460"/>
      <c r="E56" s="451"/>
      <c r="F56" s="451"/>
      <c r="L56" s="440"/>
      <c r="M56" s="440"/>
      <c r="N56" s="551" t="s">
        <v>67</v>
      </c>
      <c r="O56" s="551"/>
    </row>
    <row r="57" spans="1:15" ht="15">
      <c r="A57" s="154"/>
      <c r="B57" s="28"/>
      <c r="E57" s="95"/>
      <c r="F57" s="95"/>
      <c r="L57" s="440"/>
      <c r="M57" s="551" t="s">
        <v>725</v>
      </c>
      <c r="N57" s="551"/>
      <c r="O57" s="551"/>
    </row>
    <row r="58" spans="1:15" ht="15">
      <c r="A58" s="159"/>
      <c r="B58" s="160"/>
      <c r="E58" s="95"/>
      <c r="F58" s="95"/>
      <c r="L58" s="551" t="s">
        <v>726</v>
      </c>
      <c r="M58" s="551"/>
      <c r="N58" s="551"/>
      <c r="O58" s="551"/>
    </row>
    <row r="59" spans="1:6" ht="15">
      <c r="A59" s="159"/>
      <c r="B59" s="160"/>
      <c r="E59" s="95"/>
      <c r="F59" s="95"/>
    </row>
    <row r="60" spans="1:4" ht="39.75" customHeight="1" thickBot="1">
      <c r="A60" s="550" t="s">
        <v>578</v>
      </c>
      <c r="B60" s="550"/>
      <c r="C60" s="550"/>
      <c r="D60" s="550"/>
    </row>
    <row r="61" spans="1:19" ht="96.75" customHeight="1" thickBot="1">
      <c r="A61" s="98" t="s">
        <v>22</v>
      </c>
      <c r="B61" s="99" t="s">
        <v>163</v>
      </c>
      <c r="C61" s="219" t="s">
        <v>559</v>
      </c>
      <c r="D61" s="220" t="s">
        <v>664</v>
      </c>
      <c r="E61" s="100" t="s">
        <v>560</v>
      </c>
      <c r="F61" s="100" t="s">
        <v>561</v>
      </c>
      <c r="G61" s="452" t="s">
        <v>562</v>
      </c>
      <c r="H61" s="452" t="s">
        <v>563</v>
      </c>
      <c r="I61" s="452" t="s">
        <v>564</v>
      </c>
      <c r="J61" s="452" t="s">
        <v>565</v>
      </c>
      <c r="K61" s="452" t="s">
        <v>566</v>
      </c>
      <c r="L61" s="452" t="s">
        <v>567</v>
      </c>
      <c r="M61" s="452" t="s">
        <v>579</v>
      </c>
      <c r="N61" s="453" t="s">
        <v>569</v>
      </c>
      <c r="O61" s="454" t="s">
        <v>570</v>
      </c>
      <c r="P61" s="477"/>
      <c r="Q61" s="92"/>
      <c r="R61" s="158"/>
      <c r="S61" s="92"/>
    </row>
    <row r="62" spans="1:19" ht="15.75" thickBot="1">
      <c r="A62" s="161" t="s">
        <v>68</v>
      </c>
      <c r="B62" s="102" t="s">
        <v>69</v>
      </c>
      <c r="C62" s="313">
        <f>C63+C64+C65+C67+C68+C73</f>
        <v>3619840</v>
      </c>
      <c r="D62" s="313">
        <f aca="true" t="shared" si="13" ref="D62:M62">D63+D64+D65+D67+D68+D73</f>
        <v>0</v>
      </c>
      <c r="E62" s="313">
        <f t="shared" si="13"/>
        <v>0</v>
      </c>
      <c r="F62" s="313">
        <f t="shared" si="13"/>
        <v>0</v>
      </c>
      <c r="G62" s="313">
        <f t="shared" si="13"/>
        <v>125539</v>
      </c>
      <c r="H62" s="313">
        <f t="shared" si="13"/>
        <v>183899</v>
      </c>
      <c r="I62" s="313">
        <f t="shared" si="13"/>
        <v>122617</v>
      </c>
      <c r="J62" s="313">
        <f t="shared" si="13"/>
        <v>179696</v>
      </c>
      <c r="K62" s="313">
        <f>K63+K64+K65+K67+K68+K73</f>
        <v>111581</v>
      </c>
      <c r="L62" s="313">
        <f t="shared" si="13"/>
        <v>61820</v>
      </c>
      <c r="M62" s="313">
        <f t="shared" si="13"/>
        <v>69669</v>
      </c>
      <c r="N62" s="313">
        <f>N63+N64+N65+N67+N68+N73</f>
        <v>115031</v>
      </c>
      <c r="O62" s="302">
        <f aca="true" t="shared" si="14" ref="O62:O126">SUM(C62:N62)</f>
        <v>4589692</v>
      </c>
      <c r="P62" s="59"/>
      <c r="Q62" s="59"/>
      <c r="R62" s="248"/>
      <c r="S62" s="455"/>
    </row>
    <row r="63" spans="1:19" ht="29.25">
      <c r="A63" s="162" t="s">
        <v>244</v>
      </c>
      <c r="B63" s="163" t="s">
        <v>245</v>
      </c>
      <c r="C63" s="164">
        <f>2659800+14936+1900</f>
        <v>2676636</v>
      </c>
      <c r="D63" s="107"/>
      <c r="E63" s="107"/>
      <c r="F63" s="123"/>
      <c r="G63" s="124">
        <v>124689</v>
      </c>
      <c r="H63" s="202">
        <v>177458</v>
      </c>
      <c r="I63" s="202">
        <v>101927</v>
      </c>
      <c r="J63" s="227">
        <v>162373</v>
      </c>
      <c r="K63" s="202">
        <v>108081</v>
      </c>
      <c r="L63" s="202">
        <v>61340</v>
      </c>
      <c r="M63" s="202">
        <v>66539</v>
      </c>
      <c r="N63" s="297">
        <v>102326</v>
      </c>
      <c r="O63" s="315">
        <f t="shared" si="14"/>
        <v>3581369</v>
      </c>
      <c r="P63" s="59"/>
      <c r="Q63" s="59"/>
      <c r="R63" s="248"/>
      <c r="S63" s="455"/>
    </row>
    <row r="64" spans="1:19" ht="29.25">
      <c r="A64" s="162" t="s">
        <v>432</v>
      </c>
      <c r="B64" s="163" t="s">
        <v>433</v>
      </c>
      <c r="C64" s="164">
        <v>45859</v>
      </c>
      <c r="D64" s="123"/>
      <c r="E64" s="107"/>
      <c r="F64" s="123"/>
      <c r="G64" s="124"/>
      <c r="H64" s="124"/>
      <c r="I64" s="124"/>
      <c r="J64" s="297"/>
      <c r="K64" s="164"/>
      <c r="L64" s="164"/>
      <c r="M64" s="53"/>
      <c r="N64" s="297"/>
      <c r="O64" s="303">
        <f t="shared" si="14"/>
        <v>45859</v>
      </c>
      <c r="P64" s="59"/>
      <c r="Q64" s="59"/>
      <c r="R64" s="248"/>
      <c r="S64" s="455"/>
    </row>
    <row r="65" spans="1:19" ht="15">
      <c r="A65" s="166" t="s">
        <v>70</v>
      </c>
      <c r="B65" s="139" t="s">
        <v>71</v>
      </c>
      <c r="C65" s="316">
        <f>SUM(C66:C66)</f>
        <v>158553</v>
      </c>
      <c r="D65" s="167">
        <f>SUM(D66:D66)</f>
        <v>0</v>
      </c>
      <c r="E65" s="53"/>
      <c r="F65" s="167"/>
      <c r="G65" s="53">
        <f aca="true" t="shared" si="15" ref="G65:N65">SUM(G66:G66)</f>
        <v>850</v>
      </c>
      <c r="H65" s="53">
        <f t="shared" si="15"/>
        <v>345</v>
      </c>
      <c r="I65" s="53">
        <f t="shared" si="15"/>
        <v>422</v>
      </c>
      <c r="J65" s="167">
        <f t="shared" si="15"/>
        <v>559</v>
      </c>
      <c r="K65" s="167">
        <f t="shared" si="15"/>
        <v>0</v>
      </c>
      <c r="L65" s="167">
        <f t="shared" si="15"/>
        <v>80</v>
      </c>
      <c r="M65" s="167">
        <f t="shared" si="15"/>
        <v>530</v>
      </c>
      <c r="N65" s="167">
        <f t="shared" si="15"/>
        <v>792</v>
      </c>
      <c r="O65" s="317">
        <f t="shared" si="14"/>
        <v>162131</v>
      </c>
      <c r="P65" s="59"/>
      <c r="Q65" s="59"/>
      <c r="R65" s="248"/>
      <c r="S65" s="455"/>
    </row>
    <row r="66" spans="1:19" ht="30">
      <c r="A66" s="168" t="s">
        <v>72</v>
      </c>
      <c r="B66" s="109" t="s">
        <v>73</v>
      </c>
      <c r="C66" s="286">
        <v>158553</v>
      </c>
      <c r="D66" s="37"/>
      <c r="E66" s="37"/>
      <c r="F66" s="110"/>
      <c r="G66" s="127">
        <v>850</v>
      </c>
      <c r="H66" s="115">
        <v>345</v>
      </c>
      <c r="I66" s="115">
        <v>422</v>
      </c>
      <c r="J66" s="127">
        <v>559</v>
      </c>
      <c r="K66" s="127"/>
      <c r="L66" s="127">
        <v>80</v>
      </c>
      <c r="M66" s="127">
        <v>530</v>
      </c>
      <c r="N66" s="127">
        <v>792</v>
      </c>
      <c r="O66" s="317">
        <f t="shared" si="14"/>
        <v>162131</v>
      </c>
      <c r="P66" s="59"/>
      <c r="Q66" s="59"/>
      <c r="R66" s="248"/>
      <c r="S66" s="455"/>
    </row>
    <row r="67" spans="1:19" ht="29.25">
      <c r="A67" s="166" t="s">
        <v>246</v>
      </c>
      <c r="B67" s="170" t="s">
        <v>247</v>
      </c>
      <c r="C67" s="286">
        <v>801</v>
      </c>
      <c r="D67" s="110"/>
      <c r="E67" s="37"/>
      <c r="F67" s="110"/>
      <c r="G67" s="127"/>
      <c r="H67" s="128"/>
      <c r="I67" s="115">
        <v>4500</v>
      </c>
      <c r="J67" s="130"/>
      <c r="K67" s="130"/>
      <c r="L67" s="130"/>
      <c r="M67" s="130"/>
      <c r="N67" s="130"/>
      <c r="O67" s="317">
        <f t="shared" si="14"/>
        <v>5301</v>
      </c>
      <c r="P67" s="59"/>
      <c r="Q67" s="59"/>
      <c r="R67" s="248"/>
      <c r="S67" s="455"/>
    </row>
    <row r="68" spans="1:19" ht="29.25">
      <c r="A68" s="166" t="s">
        <v>74</v>
      </c>
      <c r="B68" s="170" t="s">
        <v>75</v>
      </c>
      <c r="C68" s="316">
        <f>SUM(C69:C72)</f>
        <v>706014</v>
      </c>
      <c r="D68" s="316">
        <f aca="true" t="shared" si="16" ref="D68:N68">SUM(D69:D72)</f>
        <v>0</v>
      </c>
      <c r="E68" s="316">
        <f t="shared" si="16"/>
        <v>0</v>
      </c>
      <c r="F68" s="316">
        <f t="shared" si="16"/>
        <v>0</v>
      </c>
      <c r="G68" s="316">
        <f t="shared" si="16"/>
        <v>0</v>
      </c>
      <c r="H68" s="316">
        <f t="shared" si="16"/>
        <v>6096</v>
      </c>
      <c r="I68" s="316">
        <f t="shared" si="16"/>
        <v>13188</v>
      </c>
      <c r="J68" s="316">
        <f t="shared" si="16"/>
        <v>14040</v>
      </c>
      <c r="K68" s="316">
        <f t="shared" si="16"/>
        <v>3500</v>
      </c>
      <c r="L68" s="316">
        <f t="shared" si="16"/>
        <v>400</v>
      </c>
      <c r="M68" s="316">
        <f t="shared" si="16"/>
        <v>2600</v>
      </c>
      <c r="N68" s="316">
        <f t="shared" si="16"/>
        <v>11913</v>
      </c>
      <c r="O68" s="317">
        <f t="shared" si="14"/>
        <v>757751</v>
      </c>
      <c r="P68" s="59"/>
      <c r="Q68" s="59"/>
      <c r="R68" s="248"/>
      <c r="S68" s="455"/>
    </row>
    <row r="69" spans="1:19" ht="30">
      <c r="A69" s="172" t="s">
        <v>456</v>
      </c>
      <c r="B69" s="109" t="s">
        <v>76</v>
      </c>
      <c r="C69" s="461">
        <v>500000</v>
      </c>
      <c r="D69" s="37"/>
      <c r="E69" s="37"/>
      <c r="F69" s="110"/>
      <c r="G69" s="128"/>
      <c r="H69" s="128"/>
      <c r="I69" s="128"/>
      <c r="J69" s="127"/>
      <c r="K69" s="127"/>
      <c r="L69" s="127"/>
      <c r="M69" s="127"/>
      <c r="N69" s="130"/>
      <c r="O69" s="317">
        <f t="shared" si="14"/>
        <v>500000</v>
      </c>
      <c r="P69" s="59"/>
      <c r="Q69" s="59"/>
      <c r="R69" s="248"/>
      <c r="S69" s="455"/>
    </row>
    <row r="70" spans="1:19" ht="30">
      <c r="A70" s="172" t="s">
        <v>457</v>
      </c>
      <c r="B70" s="109" t="s">
        <v>362</v>
      </c>
      <c r="C70" s="110">
        <v>33000</v>
      </c>
      <c r="D70" s="37"/>
      <c r="E70" s="37"/>
      <c r="F70" s="110"/>
      <c r="G70" s="115"/>
      <c r="H70" s="115">
        <v>6096</v>
      </c>
      <c r="I70" s="115">
        <v>13188</v>
      </c>
      <c r="J70" s="127">
        <v>14040</v>
      </c>
      <c r="K70" s="127">
        <v>3500</v>
      </c>
      <c r="L70" s="127">
        <v>400</v>
      </c>
      <c r="M70" s="127">
        <v>2600</v>
      </c>
      <c r="N70" s="130">
        <v>11913</v>
      </c>
      <c r="O70" s="317">
        <f t="shared" si="14"/>
        <v>84737</v>
      </c>
      <c r="P70" s="59"/>
      <c r="Q70" s="59"/>
      <c r="R70" s="248"/>
      <c r="S70" s="455"/>
    </row>
    <row r="71" spans="1:26" ht="45">
      <c r="A71" s="172" t="s">
        <v>458</v>
      </c>
      <c r="B71" s="117" t="s">
        <v>502</v>
      </c>
      <c r="C71" s="318">
        <v>150000</v>
      </c>
      <c r="D71" s="118"/>
      <c r="E71" s="118"/>
      <c r="F71" s="119"/>
      <c r="G71" s="218"/>
      <c r="H71" s="218"/>
      <c r="I71" s="218"/>
      <c r="J71" s="121"/>
      <c r="K71" s="121"/>
      <c r="L71" s="121"/>
      <c r="M71" s="121"/>
      <c r="N71" s="222"/>
      <c r="O71" s="317">
        <f t="shared" si="14"/>
        <v>150000</v>
      </c>
      <c r="P71" s="59"/>
      <c r="Q71" s="59"/>
      <c r="R71" s="310"/>
      <c r="S71" s="455"/>
      <c r="U71" s="94"/>
      <c r="V71" s="94"/>
      <c r="W71" s="94"/>
      <c r="X71" s="94"/>
      <c r="Y71" s="94"/>
      <c r="Z71" s="94"/>
    </row>
    <row r="72" spans="1:26" ht="15">
      <c r="A72" s="172" t="s">
        <v>641</v>
      </c>
      <c r="B72" s="230" t="s">
        <v>642</v>
      </c>
      <c r="C72" s="318">
        <v>23014</v>
      </c>
      <c r="D72" s="118"/>
      <c r="E72" s="118"/>
      <c r="F72" s="119"/>
      <c r="G72" s="218"/>
      <c r="H72" s="218"/>
      <c r="I72" s="218"/>
      <c r="J72" s="121"/>
      <c r="K72" s="121"/>
      <c r="L72" s="121"/>
      <c r="M72" s="121"/>
      <c r="N72" s="222"/>
      <c r="O72" s="317">
        <f t="shared" si="14"/>
        <v>23014</v>
      </c>
      <c r="P72" s="59"/>
      <c r="Q72" s="59"/>
      <c r="R72" s="310"/>
      <c r="S72" s="455"/>
      <c r="U72" s="94"/>
      <c r="V72" s="94"/>
      <c r="W72" s="94"/>
      <c r="X72" s="94"/>
      <c r="Y72" s="94"/>
      <c r="Z72" s="94"/>
    </row>
    <row r="73" spans="1:26" s="94" customFormat="1" ht="15.75" thickBot="1">
      <c r="A73" s="173" t="s">
        <v>77</v>
      </c>
      <c r="B73" s="174" t="s">
        <v>248</v>
      </c>
      <c r="C73" s="528">
        <f>550000-409952-82576-4595-14900-6000</f>
        <v>31977</v>
      </c>
      <c r="D73" s="175"/>
      <c r="E73" s="175"/>
      <c r="F73" s="247"/>
      <c r="G73" s="228"/>
      <c r="H73" s="176"/>
      <c r="I73" s="177">
        <v>2580</v>
      </c>
      <c r="J73" s="178">
        <v>2724</v>
      </c>
      <c r="K73" s="178"/>
      <c r="L73" s="178"/>
      <c r="M73" s="178"/>
      <c r="N73" s="229"/>
      <c r="O73" s="319">
        <f t="shared" si="14"/>
        <v>37281</v>
      </c>
      <c r="P73" s="59"/>
      <c r="Q73" s="59"/>
      <c r="R73" s="310"/>
      <c r="S73" s="455"/>
      <c r="U73" s="91"/>
      <c r="V73" s="91"/>
      <c r="W73" s="91"/>
      <c r="X73" s="91"/>
      <c r="Y73" s="91"/>
      <c r="Z73" s="91"/>
    </row>
    <row r="74" spans="1:19" ht="15.75" thickBot="1">
      <c r="A74" s="179" t="s">
        <v>78</v>
      </c>
      <c r="B74" s="102" t="s">
        <v>79</v>
      </c>
      <c r="C74" s="313">
        <f>SUM(C75:C76,C78+C79)</f>
        <v>662281</v>
      </c>
      <c r="D74" s="313">
        <f aca="true" t="shared" si="17" ref="D74:N74">SUM(D75:D76,D78+D79)</f>
        <v>0</v>
      </c>
      <c r="E74" s="313">
        <f t="shared" si="17"/>
        <v>0</v>
      </c>
      <c r="F74" s="313">
        <f t="shared" si="17"/>
        <v>0</v>
      </c>
      <c r="G74" s="313">
        <f t="shared" si="17"/>
        <v>10195</v>
      </c>
      <c r="H74" s="313">
        <f t="shared" si="17"/>
        <v>0</v>
      </c>
      <c r="I74" s="313">
        <f t="shared" si="17"/>
        <v>0</v>
      </c>
      <c r="J74" s="313">
        <f t="shared" si="17"/>
        <v>4608</v>
      </c>
      <c r="K74" s="313">
        <f t="shared" si="17"/>
        <v>0</v>
      </c>
      <c r="L74" s="313">
        <f t="shared" si="17"/>
        <v>0</v>
      </c>
      <c r="M74" s="313">
        <f t="shared" si="17"/>
        <v>0</v>
      </c>
      <c r="N74" s="313">
        <f t="shared" si="17"/>
        <v>9689</v>
      </c>
      <c r="O74" s="302">
        <f t="shared" si="14"/>
        <v>686773</v>
      </c>
      <c r="P74" s="59"/>
      <c r="Q74" s="59"/>
      <c r="R74" s="248"/>
      <c r="S74" s="455"/>
    </row>
    <row r="75" spans="1:19" ht="15">
      <c r="A75" s="162" t="s">
        <v>249</v>
      </c>
      <c r="B75" s="163" t="s">
        <v>32</v>
      </c>
      <c r="C75" s="320">
        <v>591761</v>
      </c>
      <c r="D75" s="107"/>
      <c r="E75" s="107"/>
      <c r="F75" s="123"/>
      <c r="G75" s="125"/>
      <c r="H75" s="137"/>
      <c r="I75" s="137"/>
      <c r="J75" s="126"/>
      <c r="K75" s="126"/>
      <c r="L75" s="126"/>
      <c r="M75" s="126"/>
      <c r="N75" s="147"/>
      <c r="O75" s="315">
        <f t="shared" si="14"/>
        <v>591761</v>
      </c>
      <c r="P75" s="59"/>
      <c r="Q75" s="59"/>
      <c r="R75" s="248"/>
      <c r="S75" s="455"/>
    </row>
    <row r="76" spans="1:19" ht="29.25">
      <c r="A76" s="166" t="s">
        <v>333</v>
      </c>
      <c r="B76" s="139" t="s">
        <v>339</v>
      </c>
      <c r="C76" s="316">
        <f>SUM(C77:C77)</f>
        <v>2980</v>
      </c>
      <c r="D76" s="316">
        <f aca="true" t="shared" si="18" ref="D76:N76">SUM(D77:D77)</f>
        <v>0</v>
      </c>
      <c r="E76" s="316">
        <f t="shared" si="18"/>
        <v>0</v>
      </c>
      <c r="F76" s="316">
        <f t="shared" si="18"/>
        <v>0</v>
      </c>
      <c r="G76" s="316">
        <f t="shared" si="18"/>
        <v>0</v>
      </c>
      <c r="H76" s="316">
        <f t="shared" si="18"/>
        <v>0</v>
      </c>
      <c r="I76" s="316">
        <f t="shared" si="18"/>
        <v>0</v>
      </c>
      <c r="J76" s="316">
        <f t="shared" si="18"/>
        <v>0</v>
      </c>
      <c r="K76" s="316">
        <f t="shared" si="18"/>
        <v>0</v>
      </c>
      <c r="L76" s="316">
        <f t="shared" si="18"/>
        <v>0</v>
      </c>
      <c r="M76" s="316">
        <f t="shared" si="18"/>
        <v>0</v>
      </c>
      <c r="N76" s="316">
        <f t="shared" si="18"/>
        <v>0</v>
      </c>
      <c r="O76" s="303">
        <f t="shared" si="14"/>
        <v>2980</v>
      </c>
      <c r="P76" s="59"/>
      <c r="Q76" s="59"/>
      <c r="R76" s="248"/>
      <c r="S76" s="455"/>
    </row>
    <row r="77" spans="1:26" ht="15">
      <c r="A77" s="168" t="s">
        <v>459</v>
      </c>
      <c r="B77" s="252" t="s">
        <v>460</v>
      </c>
      <c r="C77" s="286">
        <v>2980</v>
      </c>
      <c r="D77" s="167"/>
      <c r="E77" s="167"/>
      <c r="F77" s="167"/>
      <c r="G77" s="167"/>
      <c r="H77" s="167"/>
      <c r="I77" s="167"/>
      <c r="J77" s="167"/>
      <c r="K77" s="167"/>
      <c r="L77" s="167"/>
      <c r="M77" s="167"/>
      <c r="N77" s="351"/>
      <c r="O77" s="317">
        <f t="shared" si="14"/>
        <v>2980</v>
      </c>
      <c r="P77" s="59"/>
      <c r="Q77" s="59"/>
      <c r="R77" s="248"/>
      <c r="S77" s="455"/>
      <c r="U77" s="94"/>
      <c r="V77" s="94"/>
      <c r="W77" s="94"/>
      <c r="X77" s="94"/>
      <c r="Y77" s="94"/>
      <c r="Z77" s="94"/>
    </row>
    <row r="78" spans="1:26" s="94" customFormat="1" ht="29.25">
      <c r="A78" s="173" t="s">
        <v>80</v>
      </c>
      <c r="B78" s="139" t="s">
        <v>250</v>
      </c>
      <c r="C78" s="331">
        <v>53200</v>
      </c>
      <c r="D78" s="53"/>
      <c r="E78" s="53"/>
      <c r="F78" s="167"/>
      <c r="G78" s="462">
        <v>10195</v>
      </c>
      <c r="H78" s="197"/>
      <c r="I78" s="197"/>
      <c r="J78" s="463">
        <v>4608</v>
      </c>
      <c r="K78" s="463"/>
      <c r="L78" s="463"/>
      <c r="M78" s="463"/>
      <c r="N78" s="464">
        <v>9689</v>
      </c>
      <c r="O78" s="317">
        <f t="shared" si="14"/>
        <v>77692</v>
      </c>
      <c r="P78" s="59"/>
      <c r="Q78" s="59"/>
      <c r="R78" s="248"/>
      <c r="S78" s="455"/>
      <c r="U78" s="91"/>
      <c r="V78" s="91"/>
      <c r="W78" s="91"/>
      <c r="X78" s="91"/>
      <c r="Y78" s="91"/>
      <c r="Z78" s="91"/>
    </row>
    <row r="79" spans="1:26" s="94" customFormat="1" ht="15.75" thickBot="1">
      <c r="A79" s="173" t="s">
        <v>580</v>
      </c>
      <c r="B79" s="457" t="s">
        <v>581</v>
      </c>
      <c r="C79" s="369">
        <f>10000+4340</f>
        <v>14340</v>
      </c>
      <c r="D79" s="287"/>
      <c r="E79" s="287"/>
      <c r="F79" s="287"/>
      <c r="G79" s="465"/>
      <c r="H79" s="466"/>
      <c r="I79" s="466"/>
      <c r="J79" s="467"/>
      <c r="K79" s="467"/>
      <c r="L79" s="467"/>
      <c r="M79" s="467"/>
      <c r="N79" s="467"/>
      <c r="O79" s="319">
        <f t="shared" si="14"/>
        <v>14340</v>
      </c>
      <c r="P79" s="59"/>
      <c r="Q79" s="59"/>
      <c r="R79" s="248"/>
      <c r="S79" s="455"/>
      <c r="U79" s="91"/>
      <c r="V79" s="91"/>
      <c r="W79" s="91"/>
      <c r="X79" s="91"/>
      <c r="Y79" s="91"/>
      <c r="Z79" s="91"/>
    </row>
    <row r="80" spans="1:19" ht="15.75" thickBot="1">
      <c r="A80" s="179" t="s">
        <v>8</v>
      </c>
      <c r="B80" s="102" t="s">
        <v>81</v>
      </c>
      <c r="C80" s="313">
        <f>SUM(C81,C90,C93:C95,C106,C108)</f>
        <v>18696061</v>
      </c>
      <c r="D80" s="313">
        <f aca="true" t="shared" si="19" ref="D80:N80">SUM(D81,D90,D93:D95,D106,D108)</f>
        <v>184531</v>
      </c>
      <c r="E80" s="313">
        <f t="shared" si="19"/>
        <v>0</v>
      </c>
      <c r="F80" s="313">
        <f t="shared" si="19"/>
        <v>0</v>
      </c>
      <c r="G80" s="313">
        <f t="shared" si="19"/>
        <v>61133</v>
      </c>
      <c r="H80" s="313">
        <f t="shared" si="19"/>
        <v>15605</v>
      </c>
      <c r="I80" s="313">
        <f t="shared" si="19"/>
        <v>30077</v>
      </c>
      <c r="J80" s="313">
        <f t="shared" si="19"/>
        <v>53885</v>
      </c>
      <c r="K80" s="313">
        <f t="shared" si="19"/>
        <v>5000</v>
      </c>
      <c r="L80" s="313">
        <f t="shared" si="19"/>
        <v>0</v>
      </c>
      <c r="M80" s="313">
        <f t="shared" si="19"/>
        <v>1700</v>
      </c>
      <c r="N80" s="313">
        <f t="shared" si="19"/>
        <v>0</v>
      </c>
      <c r="O80" s="302">
        <f t="shared" si="14"/>
        <v>19047992</v>
      </c>
      <c r="P80" s="59"/>
      <c r="Q80" s="59"/>
      <c r="R80" s="248"/>
      <c r="S80" s="455"/>
    </row>
    <row r="81" spans="1:19" ht="15">
      <c r="A81" s="162" t="s">
        <v>82</v>
      </c>
      <c r="B81" s="182" t="s">
        <v>83</v>
      </c>
      <c r="C81" s="314">
        <f>SUM(C82:C89)</f>
        <v>3070262</v>
      </c>
      <c r="D81" s="314">
        <f aca="true" t="shared" si="20" ref="D81:N81">SUM(D82:D89)</f>
        <v>0</v>
      </c>
      <c r="E81" s="314">
        <f t="shared" si="20"/>
        <v>0</v>
      </c>
      <c r="F81" s="314">
        <f t="shared" si="20"/>
        <v>0</v>
      </c>
      <c r="G81" s="314">
        <f t="shared" si="20"/>
        <v>0</v>
      </c>
      <c r="H81" s="314">
        <f t="shared" si="20"/>
        <v>0</v>
      </c>
      <c r="I81" s="314">
        <f t="shared" si="20"/>
        <v>262</v>
      </c>
      <c r="J81" s="314">
        <f t="shared" si="20"/>
        <v>0</v>
      </c>
      <c r="K81" s="314">
        <f t="shared" si="20"/>
        <v>0</v>
      </c>
      <c r="L81" s="314">
        <f t="shared" si="20"/>
        <v>0</v>
      </c>
      <c r="M81" s="314">
        <f t="shared" si="20"/>
        <v>0</v>
      </c>
      <c r="N81" s="314">
        <f t="shared" si="20"/>
        <v>0</v>
      </c>
      <c r="O81" s="315">
        <f t="shared" si="14"/>
        <v>3070524</v>
      </c>
      <c r="P81" s="59"/>
      <c r="Q81" s="59"/>
      <c r="R81" s="248"/>
      <c r="S81" s="455"/>
    </row>
    <row r="82" spans="1:19" ht="15">
      <c r="A82" s="183" t="s">
        <v>251</v>
      </c>
      <c r="B82" s="126" t="s">
        <v>252</v>
      </c>
      <c r="C82" s="320">
        <f>10000-262</f>
        <v>9738</v>
      </c>
      <c r="D82" s="107"/>
      <c r="E82" s="107"/>
      <c r="F82" s="123"/>
      <c r="G82" s="137"/>
      <c r="H82" s="137"/>
      <c r="I82" s="125">
        <v>262</v>
      </c>
      <c r="J82" s="126"/>
      <c r="K82" s="126"/>
      <c r="L82" s="126"/>
      <c r="M82" s="126"/>
      <c r="N82" s="147"/>
      <c r="O82" s="322">
        <f t="shared" si="14"/>
        <v>10000</v>
      </c>
      <c r="P82" s="46"/>
      <c r="Q82" s="59"/>
      <c r="R82" s="248"/>
      <c r="S82" s="455"/>
    </row>
    <row r="83" spans="1:19" ht="45">
      <c r="A83" s="183" t="s">
        <v>461</v>
      </c>
      <c r="B83" s="185" t="s">
        <v>582</v>
      </c>
      <c r="C83" s="320">
        <f>40930+12100+24000</f>
        <v>77030</v>
      </c>
      <c r="D83" s="107"/>
      <c r="E83" s="107"/>
      <c r="F83" s="123"/>
      <c r="G83" s="137"/>
      <c r="H83" s="137"/>
      <c r="I83" s="137"/>
      <c r="J83" s="126"/>
      <c r="K83" s="126"/>
      <c r="L83" s="126"/>
      <c r="M83" s="126"/>
      <c r="N83" s="323"/>
      <c r="O83" s="324">
        <f t="shared" si="14"/>
        <v>77030</v>
      </c>
      <c r="P83" s="46"/>
      <c r="Q83" s="59"/>
      <c r="R83" s="248"/>
      <c r="S83" s="455"/>
    </row>
    <row r="84" spans="1:19" ht="15">
      <c r="A84" s="183" t="s">
        <v>462</v>
      </c>
      <c r="B84" s="242" t="s">
        <v>427</v>
      </c>
      <c r="C84" s="320">
        <v>5000</v>
      </c>
      <c r="D84" s="107"/>
      <c r="E84" s="107"/>
      <c r="F84" s="123"/>
      <c r="G84" s="137"/>
      <c r="H84" s="137"/>
      <c r="I84" s="137"/>
      <c r="J84" s="126"/>
      <c r="K84" s="126"/>
      <c r="L84" s="126"/>
      <c r="M84" s="126"/>
      <c r="N84" s="323"/>
      <c r="O84" s="324">
        <f t="shared" si="14"/>
        <v>5000</v>
      </c>
      <c r="P84" s="46"/>
      <c r="Q84" s="59"/>
      <c r="R84" s="248"/>
      <c r="S84" s="455"/>
    </row>
    <row r="85" spans="1:19" ht="30">
      <c r="A85" s="183" t="s">
        <v>377</v>
      </c>
      <c r="B85" s="253" t="s">
        <v>538</v>
      </c>
      <c r="C85" s="320">
        <v>2857374</v>
      </c>
      <c r="D85" s="107"/>
      <c r="E85" s="107"/>
      <c r="F85" s="123"/>
      <c r="G85" s="137"/>
      <c r="H85" s="137"/>
      <c r="I85" s="137"/>
      <c r="J85" s="126"/>
      <c r="K85" s="126"/>
      <c r="L85" s="126"/>
      <c r="M85" s="126"/>
      <c r="N85" s="147"/>
      <c r="O85" s="324">
        <f t="shared" si="14"/>
        <v>2857374</v>
      </c>
      <c r="P85" s="46"/>
      <c r="Q85" s="59"/>
      <c r="R85" s="248"/>
      <c r="S85" s="455"/>
    </row>
    <row r="86" spans="1:19" ht="15">
      <c r="A86" s="183" t="s">
        <v>583</v>
      </c>
      <c r="B86" s="253" t="s">
        <v>584</v>
      </c>
      <c r="C86" s="320">
        <v>100000</v>
      </c>
      <c r="D86" s="107"/>
      <c r="E86" s="107"/>
      <c r="F86" s="123"/>
      <c r="G86" s="137"/>
      <c r="H86" s="137"/>
      <c r="I86" s="137"/>
      <c r="J86" s="126"/>
      <c r="K86" s="126"/>
      <c r="L86" s="126"/>
      <c r="M86" s="126"/>
      <c r="N86" s="147"/>
      <c r="O86" s="324">
        <f t="shared" si="14"/>
        <v>100000</v>
      </c>
      <c r="P86" s="46"/>
      <c r="Q86" s="59"/>
      <c r="R86" s="248"/>
      <c r="S86" s="455"/>
    </row>
    <row r="87" spans="1:19" ht="47.25" customHeight="1">
      <c r="A87" s="183" t="s">
        <v>378</v>
      </c>
      <c r="B87" s="253" t="s">
        <v>463</v>
      </c>
      <c r="C87" s="320"/>
      <c r="D87" s="107"/>
      <c r="E87" s="107"/>
      <c r="F87" s="123"/>
      <c r="G87" s="137"/>
      <c r="H87" s="137"/>
      <c r="I87" s="137"/>
      <c r="J87" s="126"/>
      <c r="K87" s="126"/>
      <c r="L87" s="126"/>
      <c r="M87" s="126"/>
      <c r="N87" s="147"/>
      <c r="O87" s="324">
        <f t="shared" si="14"/>
        <v>0</v>
      </c>
      <c r="P87" s="46"/>
      <c r="Q87" s="59"/>
      <c r="R87" s="248"/>
      <c r="S87" s="455"/>
    </row>
    <row r="88" spans="1:19" ht="30">
      <c r="A88" s="183" t="s">
        <v>657</v>
      </c>
      <c r="B88" s="230" t="s">
        <v>701</v>
      </c>
      <c r="C88" s="320">
        <v>21120</v>
      </c>
      <c r="D88" s="123"/>
      <c r="E88" s="123"/>
      <c r="F88" s="123"/>
      <c r="G88" s="189"/>
      <c r="H88" s="189"/>
      <c r="I88" s="189"/>
      <c r="J88" s="147"/>
      <c r="K88" s="147"/>
      <c r="L88" s="147"/>
      <c r="M88" s="147"/>
      <c r="N88" s="147"/>
      <c r="O88" s="324">
        <f t="shared" si="14"/>
        <v>21120</v>
      </c>
      <c r="P88" s="46"/>
      <c r="Q88" s="59"/>
      <c r="R88" s="248"/>
      <c r="S88" s="455"/>
    </row>
    <row r="89" spans="1:19" ht="15">
      <c r="A89" s="183" t="s">
        <v>699</v>
      </c>
      <c r="B89" s="230" t="s">
        <v>700</v>
      </c>
      <c r="C89" s="320"/>
      <c r="D89" s="123"/>
      <c r="E89" s="123"/>
      <c r="F89" s="123"/>
      <c r="G89" s="189"/>
      <c r="H89" s="189"/>
      <c r="I89" s="189"/>
      <c r="J89" s="147"/>
      <c r="K89" s="147"/>
      <c r="L89" s="147"/>
      <c r="M89" s="147"/>
      <c r="N89" s="147"/>
      <c r="O89" s="324">
        <f t="shared" si="14"/>
        <v>0</v>
      </c>
      <c r="P89" s="46"/>
      <c r="Q89" s="59"/>
      <c r="R89" s="248"/>
      <c r="S89" s="455"/>
    </row>
    <row r="90" spans="1:19" ht="15">
      <c r="A90" s="166" t="s">
        <v>84</v>
      </c>
      <c r="B90" s="139" t="s">
        <v>253</v>
      </c>
      <c r="C90" s="316">
        <f>SUM(C91:C92)</f>
        <v>4466118</v>
      </c>
      <c r="D90" s="316">
        <f aca="true" t="shared" si="21" ref="D90:N90">SUM(D91:D92)</f>
        <v>0</v>
      </c>
      <c r="E90" s="316">
        <f t="shared" si="21"/>
        <v>0</v>
      </c>
      <c r="F90" s="316">
        <f t="shared" si="21"/>
        <v>0</v>
      </c>
      <c r="G90" s="316">
        <f t="shared" si="21"/>
        <v>0</v>
      </c>
      <c r="H90" s="316">
        <f t="shared" si="21"/>
        <v>0</v>
      </c>
      <c r="I90" s="316">
        <f t="shared" si="21"/>
        <v>0</v>
      </c>
      <c r="J90" s="316">
        <f t="shared" si="21"/>
        <v>0</v>
      </c>
      <c r="K90" s="316">
        <f t="shared" si="21"/>
        <v>0</v>
      </c>
      <c r="L90" s="316">
        <f t="shared" si="21"/>
        <v>0</v>
      </c>
      <c r="M90" s="316">
        <f t="shared" si="21"/>
        <v>1700</v>
      </c>
      <c r="N90" s="316">
        <f t="shared" si="21"/>
        <v>0</v>
      </c>
      <c r="O90" s="317">
        <f t="shared" si="14"/>
        <v>4467818</v>
      </c>
      <c r="P90" s="59"/>
      <c r="Q90" s="59"/>
      <c r="R90" s="248"/>
      <c r="S90" s="455"/>
    </row>
    <row r="91" spans="1:19" ht="15">
      <c r="A91" s="183" t="s">
        <v>379</v>
      </c>
      <c r="B91" s="254" t="s">
        <v>501</v>
      </c>
      <c r="C91" s="314"/>
      <c r="D91" s="53"/>
      <c r="E91" s="53"/>
      <c r="F91" s="167"/>
      <c r="G91" s="128"/>
      <c r="H91" s="128"/>
      <c r="I91" s="128"/>
      <c r="J91" s="127"/>
      <c r="K91" s="127"/>
      <c r="L91" s="127"/>
      <c r="M91" s="127">
        <v>1700</v>
      </c>
      <c r="N91" s="130"/>
      <c r="O91" s="324">
        <f t="shared" si="14"/>
        <v>1700</v>
      </c>
      <c r="P91" s="46"/>
      <c r="Q91" s="59"/>
      <c r="R91" s="248"/>
      <c r="S91" s="455"/>
    </row>
    <row r="92" spans="1:19" ht="75">
      <c r="A92" s="183" t="s">
        <v>380</v>
      </c>
      <c r="B92" s="254" t="s">
        <v>464</v>
      </c>
      <c r="C92" s="320">
        <v>4466118</v>
      </c>
      <c r="D92" s="53"/>
      <c r="E92" s="53"/>
      <c r="F92" s="167"/>
      <c r="G92" s="128"/>
      <c r="H92" s="128"/>
      <c r="I92" s="128"/>
      <c r="J92" s="127"/>
      <c r="K92" s="127"/>
      <c r="L92" s="127"/>
      <c r="M92" s="127"/>
      <c r="N92" s="130"/>
      <c r="O92" s="324">
        <f t="shared" si="14"/>
        <v>4466118</v>
      </c>
      <c r="P92" s="46"/>
      <c r="Q92" s="59"/>
      <c r="R92" s="248"/>
      <c r="S92" s="455"/>
    </row>
    <row r="93" spans="1:19" ht="15">
      <c r="A93" s="162" t="s">
        <v>85</v>
      </c>
      <c r="B93" s="163" t="s">
        <v>86</v>
      </c>
      <c r="C93" s="314"/>
      <c r="D93" s="37"/>
      <c r="E93" s="37"/>
      <c r="F93" s="110"/>
      <c r="G93" s="128"/>
      <c r="H93" s="128"/>
      <c r="I93" s="128"/>
      <c r="J93" s="127">
        <v>342</v>
      </c>
      <c r="K93" s="127">
        <v>5000</v>
      </c>
      <c r="L93" s="127"/>
      <c r="M93" s="127"/>
      <c r="N93" s="130"/>
      <c r="O93" s="317">
        <f t="shared" si="14"/>
        <v>5342</v>
      </c>
      <c r="P93" s="59"/>
      <c r="Q93" s="59"/>
      <c r="R93" s="248"/>
      <c r="S93" s="455"/>
    </row>
    <row r="94" spans="1:19" ht="15">
      <c r="A94" s="162" t="s">
        <v>465</v>
      </c>
      <c r="B94" s="163" t="s">
        <v>177</v>
      </c>
      <c r="C94" s="314">
        <v>303880</v>
      </c>
      <c r="D94" s="110"/>
      <c r="E94" s="37"/>
      <c r="F94" s="110"/>
      <c r="G94" s="128"/>
      <c r="H94" s="128"/>
      <c r="I94" s="128"/>
      <c r="J94" s="127">
        <v>1204</v>
      </c>
      <c r="K94" s="130"/>
      <c r="L94" s="130"/>
      <c r="M94" s="130"/>
      <c r="N94" s="130"/>
      <c r="O94" s="317">
        <f t="shared" si="14"/>
        <v>305084</v>
      </c>
      <c r="P94" s="59"/>
      <c r="Q94" s="59"/>
      <c r="R94" s="248"/>
      <c r="S94" s="455"/>
    </row>
    <row r="95" spans="1:19" ht="15">
      <c r="A95" s="166" t="s">
        <v>87</v>
      </c>
      <c r="B95" s="139" t="s">
        <v>88</v>
      </c>
      <c r="C95" s="316">
        <f>SUM(C96:C105)</f>
        <v>10826818</v>
      </c>
      <c r="D95" s="316">
        <f aca="true" t="shared" si="22" ref="D95:N95">SUM(D96:D105)</f>
        <v>184531</v>
      </c>
      <c r="E95" s="316">
        <f t="shared" si="22"/>
        <v>0</v>
      </c>
      <c r="F95" s="316">
        <f t="shared" si="22"/>
        <v>0</v>
      </c>
      <c r="G95" s="316">
        <f t="shared" si="22"/>
        <v>61133</v>
      </c>
      <c r="H95" s="316">
        <f t="shared" si="22"/>
        <v>15605</v>
      </c>
      <c r="I95" s="316">
        <f t="shared" si="22"/>
        <v>29815</v>
      </c>
      <c r="J95" s="316">
        <f t="shared" si="22"/>
        <v>52339</v>
      </c>
      <c r="K95" s="316">
        <f t="shared" si="22"/>
        <v>0</v>
      </c>
      <c r="L95" s="316">
        <f t="shared" si="22"/>
        <v>0</v>
      </c>
      <c r="M95" s="316">
        <f t="shared" si="22"/>
        <v>0</v>
      </c>
      <c r="N95" s="316">
        <f t="shared" si="22"/>
        <v>0</v>
      </c>
      <c r="O95" s="317">
        <f t="shared" si="14"/>
        <v>11170241</v>
      </c>
      <c r="P95" s="59"/>
      <c r="Q95" s="59"/>
      <c r="R95" s="248"/>
      <c r="S95" s="455"/>
    </row>
    <row r="96" spans="1:19" ht="15">
      <c r="A96" s="168" t="s">
        <v>529</v>
      </c>
      <c r="B96" s="109" t="s">
        <v>89</v>
      </c>
      <c r="C96" s="110">
        <f>689828-92-15539</f>
        <v>674197</v>
      </c>
      <c r="D96" s="37">
        <v>45459</v>
      </c>
      <c r="E96" s="37"/>
      <c r="F96" s="110"/>
      <c r="G96" s="115"/>
      <c r="H96" s="128"/>
      <c r="I96" s="115">
        <v>17361</v>
      </c>
      <c r="J96" s="127"/>
      <c r="K96" s="127"/>
      <c r="L96" s="127"/>
      <c r="M96" s="127"/>
      <c r="N96" s="130"/>
      <c r="O96" s="317">
        <f t="shared" si="14"/>
        <v>737017</v>
      </c>
      <c r="P96" s="59"/>
      <c r="Q96" s="59"/>
      <c r="R96" s="248"/>
      <c r="S96" s="455"/>
    </row>
    <row r="97" spans="1:19" ht="15">
      <c r="A97" s="168" t="s">
        <v>585</v>
      </c>
      <c r="B97" s="109" t="s">
        <v>586</v>
      </c>
      <c r="C97" s="110">
        <v>3009875</v>
      </c>
      <c r="D97" s="37"/>
      <c r="E97" s="37"/>
      <c r="F97" s="110"/>
      <c r="G97" s="115"/>
      <c r="H97" s="128"/>
      <c r="I97" s="115"/>
      <c r="J97" s="127"/>
      <c r="K97" s="127"/>
      <c r="L97" s="127"/>
      <c r="M97" s="127"/>
      <c r="N97" s="130"/>
      <c r="O97" s="317">
        <f t="shared" si="14"/>
        <v>3009875</v>
      </c>
      <c r="P97" s="59"/>
      <c r="Q97" s="59"/>
      <c r="R97" s="248"/>
      <c r="S97" s="455"/>
    </row>
    <row r="98" spans="1:19" ht="15">
      <c r="A98" s="168" t="s">
        <v>587</v>
      </c>
      <c r="B98" s="109" t="s">
        <v>588</v>
      </c>
      <c r="C98" s="110">
        <v>956915</v>
      </c>
      <c r="D98" s="37"/>
      <c r="E98" s="37"/>
      <c r="F98" s="110"/>
      <c r="G98" s="115"/>
      <c r="H98" s="128"/>
      <c r="I98" s="115"/>
      <c r="J98" s="127"/>
      <c r="K98" s="127"/>
      <c r="L98" s="127"/>
      <c r="M98" s="127"/>
      <c r="N98" s="130"/>
      <c r="O98" s="317">
        <f t="shared" si="14"/>
        <v>956915</v>
      </c>
      <c r="P98" s="59"/>
      <c r="Q98" s="59"/>
      <c r="R98" s="248"/>
      <c r="S98" s="455"/>
    </row>
    <row r="99" spans="1:19" ht="30">
      <c r="A99" s="168" t="s">
        <v>589</v>
      </c>
      <c r="B99" s="109" t="s">
        <v>590</v>
      </c>
      <c r="C99" s="110">
        <f>39483+11150</f>
        <v>50633</v>
      </c>
      <c r="D99" s="37"/>
      <c r="E99" s="37"/>
      <c r="F99" s="110"/>
      <c r="G99" s="115"/>
      <c r="H99" s="128"/>
      <c r="I99" s="115"/>
      <c r="J99" s="127"/>
      <c r="K99" s="127"/>
      <c r="L99" s="127"/>
      <c r="M99" s="127"/>
      <c r="N99" s="130"/>
      <c r="O99" s="317">
        <f t="shared" si="14"/>
        <v>50633</v>
      </c>
      <c r="P99" s="59"/>
      <c r="Q99" s="59"/>
      <c r="R99" s="248"/>
      <c r="S99" s="455"/>
    </row>
    <row r="100" spans="1:19" ht="30">
      <c r="A100" s="168" t="s">
        <v>591</v>
      </c>
      <c r="B100" s="109" t="s">
        <v>592</v>
      </c>
      <c r="C100" s="110">
        <v>36300</v>
      </c>
      <c r="D100" s="37"/>
      <c r="E100" s="37"/>
      <c r="F100" s="110"/>
      <c r="G100" s="115"/>
      <c r="H100" s="128"/>
      <c r="I100" s="115"/>
      <c r="J100" s="127"/>
      <c r="K100" s="127"/>
      <c r="L100" s="127"/>
      <c r="M100" s="127"/>
      <c r="N100" s="130"/>
      <c r="O100" s="317">
        <f t="shared" si="14"/>
        <v>36300</v>
      </c>
      <c r="P100" s="59"/>
      <c r="Q100" s="59"/>
      <c r="R100" s="248"/>
      <c r="S100" s="455"/>
    </row>
    <row r="101" spans="1:19" ht="15">
      <c r="A101" s="168" t="s">
        <v>254</v>
      </c>
      <c r="B101" s="185" t="s">
        <v>255</v>
      </c>
      <c r="C101" s="286"/>
      <c r="D101" s="37">
        <v>139072</v>
      </c>
      <c r="E101" s="37"/>
      <c r="F101" s="110"/>
      <c r="G101" s="115">
        <v>61133</v>
      </c>
      <c r="H101" s="115">
        <v>15605</v>
      </c>
      <c r="I101" s="115">
        <v>12454</v>
      </c>
      <c r="J101" s="127">
        <v>52339</v>
      </c>
      <c r="K101" s="127"/>
      <c r="L101" s="127"/>
      <c r="M101" s="127"/>
      <c r="N101" s="130"/>
      <c r="O101" s="317">
        <f t="shared" si="14"/>
        <v>280603</v>
      </c>
      <c r="P101" s="59"/>
      <c r="Q101" s="59"/>
      <c r="R101" s="248"/>
      <c r="S101" s="455"/>
    </row>
    <row r="102" spans="1:19" ht="30">
      <c r="A102" s="168" t="s">
        <v>334</v>
      </c>
      <c r="B102" s="185" t="s">
        <v>466</v>
      </c>
      <c r="C102" s="110"/>
      <c r="D102" s="37"/>
      <c r="E102" s="37"/>
      <c r="F102" s="110"/>
      <c r="G102" s="127"/>
      <c r="H102" s="128"/>
      <c r="I102" s="128"/>
      <c r="J102" s="130"/>
      <c r="K102" s="130"/>
      <c r="L102" s="130"/>
      <c r="M102" s="130"/>
      <c r="N102" s="130"/>
      <c r="O102" s="317">
        <f t="shared" si="14"/>
        <v>0</v>
      </c>
      <c r="P102" s="59"/>
      <c r="Q102" s="59"/>
      <c r="R102" s="248"/>
      <c r="S102" s="455"/>
    </row>
    <row r="103" spans="1:19" ht="30">
      <c r="A103" s="168" t="s">
        <v>381</v>
      </c>
      <c r="B103" s="185" t="s">
        <v>382</v>
      </c>
      <c r="C103" s="286">
        <v>500000</v>
      </c>
      <c r="D103" s="37"/>
      <c r="E103" s="37"/>
      <c r="F103" s="110"/>
      <c r="G103" s="127"/>
      <c r="H103" s="128"/>
      <c r="I103" s="128"/>
      <c r="J103" s="130"/>
      <c r="K103" s="130"/>
      <c r="L103" s="130"/>
      <c r="M103" s="130"/>
      <c r="N103" s="130"/>
      <c r="O103" s="317">
        <f t="shared" si="14"/>
        <v>500000</v>
      </c>
      <c r="P103" s="59"/>
      <c r="Q103" s="59"/>
      <c r="R103" s="248"/>
      <c r="S103" s="455"/>
    </row>
    <row r="104" spans="1:19" ht="30">
      <c r="A104" s="168" t="s">
        <v>434</v>
      </c>
      <c r="B104" s="185" t="s">
        <v>593</v>
      </c>
      <c r="C104" s="286">
        <v>1598898</v>
      </c>
      <c r="D104" s="37"/>
      <c r="E104" s="37"/>
      <c r="F104" s="110"/>
      <c r="G104" s="127"/>
      <c r="H104" s="128"/>
      <c r="I104" s="128"/>
      <c r="J104" s="130"/>
      <c r="K104" s="130"/>
      <c r="L104" s="130"/>
      <c r="M104" s="130"/>
      <c r="N104" s="130"/>
      <c r="O104" s="317">
        <f t="shared" si="14"/>
        <v>1598898</v>
      </c>
      <c r="P104" s="59"/>
      <c r="Q104" s="59"/>
      <c r="R104" s="248"/>
      <c r="S104" s="455"/>
    </row>
    <row r="105" spans="1:19" ht="45">
      <c r="A105" s="168" t="s">
        <v>556</v>
      </c>
      <c r="B105" s="185" t="s">
        <v>594</v>
      </c>
      <c r="C105" s="286">
        <v>4000000</v>
      </c>
      <c r="D105" s="37"/>
      <c r="E105" s="37"/>
      <c r="F105" s="110"/>
      <c r="G105" s="127"/>
      <c r="H105" s="128"/>
      <c r="I105" s="128"/>
      <c r="J105" s="130"/>
      <c r="K105" s="130"/>
      <c r="L105" s="130"/>
      <c r="M105" s="130"/>
      <c r="N105" s="130"/>
      <c r="O105" s="317">
        <f t="shared" si="14"/>
        <v>4000000</v>
      </c>
      <c r="P105" s="59"/>
      <c r="Q105" s="59"/>
      <c r="R105" s="248"/>
      <c r="S105" s="455"/>
    </row>
    <row r="106" spans="1:19" ht="15">
      <c r="A106" s="166" t="s">
        <v>90</v>
      </c>
      <c r="B106" s="170" t="s">
        <v>91</v>
      </c>
      <c r="C106" s="316">
        <f>SUM(C107:C107)</f>
        <v>0</v>
      </c>
      <c r="D106" s="37"/>
      <c r="E106" s="37"/>
      <c r="F106" s="110"/>
      <c r="G106" s="53">
        <f aca="true" t="shared" si="23" ref="G106:N106">SUM(G107:G107)</f>
        <v>0</v>
      </c>
      <c r="H106" s="53">
        <f t="shared" si="23"/>
        <v>0</v>
      </c>
      <c r="I106" s="53">
        <f>SUM(I107:I107)</f>
        <v>0</v>
      </c>
      <c r="J106" s="167">
        <f t="shared" si="23"/>
        <v>0</v>
      </c>
      <c r="K106" s="167">
        <f t="shared" si="23"/>
        <v>0</v>
      </c>
      <c r="L106" s="167">
        <f t="shared" si="23"/>
        <v>0</v>
      </c>
      <c r="M106" s="167">
        <f t="shared" si="23"/>
        <v>0</v>
      </c>
      <c r="N106" s="167">
        <f t="shared" si="23"/>
        <v>0</v>
      </c>
      <c r="O106" s="317">
        <f t="shared" si="14"/>
        <v>0</v>
      </c>
      <c r="P106" s="59"/>
      <c r="Q106" s="59"/>
      <c r="R106" s="248"/>
      <c r="S106" s="455"/>
    </row>
    <row r="107" spans="1:19" ht="15">
      <c r="A107" s="168" t="s">
        <v>256</v>
      </c>
      <c r="B107" s="109" t="s">
        <v>346</v>
      </c>
      <c r="C107" s="286"/>
      <c r="D107" s="37"/>
      <c r="E107" s="37"/>
      <c r="F107" s="110"/>
      <c r="G107" s="127"/>
      <c r="H107" s="128"/>
      <c r="I107" s="128"/>
      <c r="J107" s="127"/>
      <c r="K107" s="127"/>
      <c r="L107" s="127"/>
      <c r="M107" s="127"/>
      <c r="N107" s="130"/>
      <c r="O107" s="317">
        <f t="shared" si="14"/>
        <v>0</v>
      </c>
      <c r="P107" s="59"/>
      <c r="Q107" s="59"/>
      <c r="R107" s="248"/>
      <c r="S107" s="455"/>
    </row>
    <row r="108" spans="1:19" ht="15.75" thickBot="1">
      <c r="A108" s="486" t="s">
        <v>638</v>
      </c>
      <c r="B108" s="457" t="s">
        <v>639</v>
      </c>
      <c r="C108" s="321">
        <v>28983</v>
      </c>
      <c r="D108" s="141"/>
      <c r="E108" s="141"/>
      <c r="F108" s="141"/>
      <c r="G108" s="191"/>
      <c r="H108" s="290"/>
      <c r="I108" s="290"/>
      <c r="J108" s="191"/>
      <c r="K108" s="191"/>
      <c r="L108" s="191"/>
      <c r="M108" s="191"/>
      <c r="N108" s="191"/>
      <c r="O108" s="317">
        <f t="shared" si="14"/>
        <v>28983</v>
      </c>
      <c r="P108" s="59"/>
      <c r="Q108" s="59"/>
      <c r="R108" s="248"/>
      <c r="S108" s="455"/>
    </row>
    <row r="109" spans="1:19" ht="15.75" thickBot="1">
      <c r="A109" s="179" t="s">
        <v>30</v>
      </c>
      <c r="B109" s="186" t="s">
        <v>92</v>
      </c>
      <c r="C109" s="313">
        <f>C110+C113+C116+C121</f>
        <v>2837483</v>
      </c>
      <c r="D109" s="122">
        <f aca="true" t="shared" si="24" ref="D109:N109">D110+D113+D116+D121</f>
        <v>660973</v>
      </c>
      <c r="E109" s="122">
        <f t="shared" si="24"/>
        <v>0</v>
      </c>
      <c r="F109" s="122">
        <f t="shared" si="24"/>
        <v>89211</v>
      </c>
      <c r="G109" s="122">
        <f t="shared" si="24"/>
        <v>0</v>
      </c>
      <c r="H109" s="122">
        <f t="shared" si="24"/>
        <v>24100</v>
      </c>
      <c r="I109" s="122">
        <f t="shared" si="24"/>
        <v>22592</v>
      </c>
      <c r="J109" s="122">
        <f t="shared" si="24"/>
        <v>59537</v>
      </c>
      <c r="K109" s="122">
        <f t="shared" si="24"/>
        <v>3401</v>
      </c>
      <c r="L109" s="122">
        <f t="shared" si="24"/>
        <v>11393</v>
      </c>
      <c r="M109" s="122">
        <f t="shared" si="24"/>
        <v>0</v>
      </c>
      <c r="N109" s="122">
        <f t="shared" si="24"/>
        <v>14439</v>
      </c>
      <c r="O109" s="302">
        <f t="shared" si="14"/>
        <v>3723129</v>
      </c>
      <c r="P109" s="59"/>
      <c r="Q109" s="59"/>
      <c r="R109" s="248"/>
      <c r="S109" s="455"/>
    </row>
    <row r="110" spans="1:19" ht="15">
      <c r="A110" s="162" t="s">
        <v>93</v>
      </c>
      <c r="B110" s="187" t="s">
        <v>94</v>
      </c>
      <c r="C110" s="314">
        <f>SUM(C111:C112)</f>
        <v>44392</v>
      </c>
      <c r="D110" s="164">
        <f aca="true" t="shared" si="25" ref="D110:N110">SUM(D111:D112)</f>
        <v>296313</v>
      </c>
      <c r="E110" s="164">
        <f t="shared" si="25"/>
        <v>0</v>
      </c>
      <c r="F110" s="164">
        <f t="shared" si="25"/>
        <v>28291</v>
      </c>
      <c r="G110" s="164">
        <f t="shared" si="25"/>
        <v>0</v>
      </c>
      <c r="H110" s="164">
        <f t="shared" si="25"/>
        <v>7200</v>
      </c>
      <c r="I110" s="164">
        <f t="shared" si="25"/>
        <v>22592</v>
      </c>
      <c r="J110" s="164">
        <f t="shared" si="25"/>
        <v>26462</v>
      </c>
      <c r="K110" s="164">
        <f t="shared" si="25"/>
        <v>0</v>
      </c>
      <c r="L110" s="164">
        <f t="shared" si="25"/>
        <v>5465</v>
      </c>
      <c r="M110" s="164">
        <f t="shared" si="25"/>
        <v>0</v>
      </c>
      <c r="N110" s="164">
        <f t="shared" si="25"/>
        <v>2500</v>
      </c>
      <c r="O110" s="325">
        <f t="shared" si="14"/>
        <v>433215</v>
      </c>
      <c r="P110" s="59"/>
      <c r="Q110" s="59"/>
      <c r="R110" s="248"/>
      <c r="S110" s="455"/>
    </row>
    <row r="111" spans="1:19" ht="30">
      <c r="A111" s="168" t="s">
        <v>257</v>
      </c>
      <c r="B111" s="109" t="s">
        <v>500</v>
      </c>
      <c r="C111" s="286">
        <v>24790</v>
      </c>
      <c r="D111" s="37">
        <v>296313</v>
      </c>
      <c r="E111" s="37"/>
      <c r="F111" s="110">
        <v>28291</v>
      </c>
      <c r="G111" s="115"/>
      <c r="H111" s="115">
        <v>7200</v>
      </c>
      <c r="I111" s="115">
        <v>22592</v>
      </c>
      <c r="J111" s="127">
        <v>26462</v>
      </c>
      <c r="K111" s="127"/>
      <c r="L111" s="127">
        <v>5465</v>
      </c>
      <c r="M111" s="127"/>
      <c r="N111" s="130">
        <v>2500</v>
      </c>
      <c r="O111" s="317">
        <f t="shared" si="14"/>
        <v>413613</v>
      </c>
      <c r="P111" s="59"/>
      <c r="Q111" s="59"/>
      <c r="R111" s="248"/>
      <c r="S111" s="455"/>
    </row>
    <row r="112" spans="1:19" ht="15">
      <c r="A112" s="168" t="s">
        <v>383</v>
      </c>
      <c r="B112" s="252" t="s">
        <v>384</v>
      </c>
      <c r="C112" s="286">
        <v>19602</v>
      </c>
      <c r="D112" s="110"/>
      <c r="E112" s="110"/>
      <c r="F112" s="110"/>
      <c r="G112" s="115"/>
      <c r="H112" s="128"/>
      <c r="I112" s="128"/>
      <c r="J112" s="130"/>
      <c r="K112" s="130"/>
      <c r="L112" s="130"/>
      <c r="M112" s="130"/>
      <c r="N112" s="130"/>
      <c r="O112" s="317">
        <f t="shared" si="14"/>
        <v>19602</v>
      </c>
      <c r="P112" s="59"/>
      <c r="Q112" s="59"/>
      <c r="R112" s="248"/>
      <c r="S112" s="455"/>
    </row>
    <row r="113" spans="1:19" ht="15">
      <c r="A113" s="166" t="s">
        <v>10</v>
      </c>
      <c r="B113" s="170" t="s">
        <v>95</v>
      </c>
      <c r="C113" s="316">
        <f>SUM(C114:C115)</f>
        <v>0</v>
      </c>
      <c r="D113" s="167">
        <f>SUM(D114:D115)</f>
        <v>364660</v>
      </c>
      <c r="E113" s="167">
        <f>SUM(E114:E115)</f>
        <v>0</v>
      </c>
      <c r="F113" s="167">
        <f>SUM(F114:F115)</f>
        <v>60920</v>
      </c>
      <c r="G113" s="53">
        <f aca="true" t="shared" si="26" ref="G113:N113">SUM(G114:G115)</f>
        <v>0</v>
      </c>
      <c r="H113" s="53">
        <f t="shared" si="26"/>
        <v>16900</v>
      </c>
      <c r="I113" s="53">
        <f t="shared" si="26"/>
        <v>0</v>
      </c>
      <c r="J113" s="167">
        <f t="shared" si="26"/>
        <v>33075</v>
      </c>
      <c r="K113" s="167">
        <f t="shared" si="26"/>
        <v>3401</v>
      </c>
      <c r="L113" s="167">
        <f t="shared" si="26"/>
        <v>5928</v>
      </c>
      <c r="M113" s="167">
        <f t="shared" si="26"/>
        <v>0</v>
      </c>
      <c r="N113" s="167">
        <f t="shared" si="26"/>
        <v>11939</v>
      </c>
      <c r="O113" s="317">
        <f t="shared" si="14"/>
        <v>496823</v>
      </c>
      <c r="P113" s="59"/>
      <c r="Q113" s="59"/>
      <c r="R113" s="248"/>
      <c r="S113" s="455"/>
    </row>
    <row r="114" spans="1:19" ht="15">
      <c r="A114" s="168" t="s">
        <v>258</v>
      </c>
      <c r="B114" s="185" t="s">
        <v>156</v>
      </c>
      <c r="C114" s="286"/>
      <c r="D114" s="37">
        <v>18718</v>
      </c>
      <c r="E114" s="37"/>
      <c r="F114" s="110"/>
      <c r="G114" s="128"/>
      <c r="H114" s="128"/>
      <c r="I114" s="128"/>
      <c r="J114" s="127"/>
      <c r="K114" s="127"/>
      <c r="L114" s="127"/>
      <c r="M114" s="127"/>
      <c r="N114" s="130"/>
      <c r="O114" s="317">
        <f t="shared" si="14"/>
        <v>18718</v>
      </c>
      <c r="P114" s="59"/>
      <c r="Q114" s="59"/>
      <c r="R114" s="248"/>
      <c r="S114" s="455"/>
    </row>
    <row r="115" spans="1:26" ht="15">
      <c r="A115" s="188" t="s">
        <v>259</v>
      </c>
      <c r="B115" s="185" t="s">
        <v>96</v>
      </c>
      <c r="C115" s="110"/>
      <c r="D115" s="37">
        <v>345942</v>
      </c>
      <c r="E115" s="37"/>
      <c r="F115" s="110">
        <f>57609+3311</f>
        <v>60920</v>
      </c>
      <c r="G115" s="115"/>
      <c r="H115" s="115">
        <v>16900</v>
      </c>
      <c r="I115" s="128"/>
      <c r="J115" s="127">
        <v>33075</v>
      </c>
      <c r="K115" s="127">
        <f>901+2500</f>
        <v>3401</v>
      </c>
      <c r="L115" s="127">
        <v>5928</v>
      </c>
      <c r="M115" s="127"/>
      <c r="N115" s="192">
        <v>11939</v>
      </c>
      <c r="O115" s="317">
        <f t="shared" si="14"/>
        <v>478105</v>
      </c>
      <c r="P115" s="59"/>
      <c r="Q115" s="59"/>
      <c r="R115" s="248"/>
      <c r="S115" s="455"/>
      <c r="U115" s="94"/>
      <c r="V115" s="94"/>
      <c r="W115" s="94"/>
      <c r="X115" s="94"/>
      <c r="Y115" s="94"/>
      <c r="Z115" s="94"/>
    </row>
    <row r="116" spans="1:19" s="94" customFormat="1" ht="29.25">
      <c r="A116" s="166" t="s">
        <v>260</v>
      </c>
      <c r="B116" s="187" t="s">
        <v>261</v>
      </c>
      <c r="C116" s="314">
        <f>SUM(C117:C120)</f>
        <v>2793091</v>
      </c>
      <c r="D116" s="314">
        <f aca="true" t="shared" si="27" ref="D116:N116">SUM(D117:D120)</f>
        <v>0</v>
      </c>
      <c r="E116" s="314">
        <f t="shared" si="27"/>
        <v>0</v>
      </c>
      <c r="F116" s="314">
        <f t="shared" si="27"/>
        <v>0</v>
      </c>
      <c r="G116" s="314">
        <f t="shared" si="27"/>
        <v>0</v>
      </c>
      <c r="H116" s="314">
        <f t="shared" si="27"/>
        <v>0</v>
      </c>
      <c r="I116" s="314">
        <f t="shared" si="27"/>
        <v>0</v>
      </c>
      <c r="J116" s="314">
        <f t="shared" si="27"/>
        <v>0</v>
      </c>
      <c r="K116" s="314">
        <f t="shared" si="27"/>
        <v>0</v>
      </c>
      <c r="L116" s="314">
        <f t="shared" si="27"/>
        <v>0</v>
      </c>
      <c r="M116" s="314">
        <f t="shared" si="27"/>
        <v>0</v>
      </c>
      <c r="N116" s="314">
        <f t="shared" si="27"/>
        <v>0</v>
      </c>
      <c r="O116" s="317">
        <f t="shared" si="14"/>
        <v>2793091</v>
      </c>
      <c r="P116" s="59"/>
      <c r="Q116" s="59"/>
      <c r="R116" s="248"/>
      <c r="S116" s="455"/>
    </row>
    <row r="117" spans="1:19" s="94" customFormat="1" ht="15">
      <c r="A117" s="168" t="s">
        <v>467</v>
      </c>
      <c r="B117" s="327" t="s">
        <v>660</v>
      </c>
      <c r="C117" s="164">
        <v>4918</v>
      </c>
      <c r="D117" s="314"/>
      <c r="E117" s="314"/>
      <c r="F117" s="314"/>
      <c r="G117" s="314"/>
      <c r="H117" s="314"/>
      <c r="I117" s="314"/>
      <c r="J117" s="314"/>
      <c r="K117" s="314"/>
      <c r="L117" s="314"/>
      <c r="M117" s="314"/>
      <c r="N117" s="314"/>
      <c r="O117" s="317">
        <f t="shared" si="14"/>
        <v>4918</v>
      </c>
      <c r="P117" s="59"/>
      <c r="Q117" s="59"/>
      <c r="R117" s="248"/>
      <c r="S117" s="455"/>
    </row>
    <row r="118" spans="1:19" s="94" customFormat="1" ht="45">
      <c r="A118" s="168" t="s">
        <v>385</v>
      </c>
      <c r="B118" s="252" t="s">
        <v>435</v>
      </c>
      <c r="C118" s="164">
        <f>560687+45165</f>
        <v>605852</v>
      </c>
      <c r="D118" s="164"/>
      <c r="E118" s="164"/>
      <c r="F118" s="164"/>
      <c r="G118" s="124"/>
      <c r="H118" s="164"/>
      <c r="I118" s="164"/>
      <c r="J118" s="164"/>
      <c r="K118" s="164"/>
      <c r="L118" s="164"/>
      <c r="M118" s="164"/>
      <c r="N118" s="164"/>
      <c r="O118" s="317">
        <f t="shared" si="14"/>
        <v>605852</v>
      </c>
      <c r="P118" s="59"/>
      <c r="Q118" s="59"/>
      <c r="R118" s="248"/>
      <c r="S118" s="455"/>
    </row>
    <row r="119" spans="1:19" s="94" customFormat="1" ht="44.25" customHeight="1">
      <c r="A119" s="168" t="s">
        <v>386</v>
      </c>
      <c r="B119" s="255" t="s">
        <v>436</v>
      </c>
      <c r="C119" s="164">
        <v>1815872</v>
      </c>
      <c r="D119" s="164"/>
      <c r="E119" s="164"/>
      <c r="F119" s="164"/>
      <c r="G119" s="124"/>
      <c r="H119" s="164"/>
      <c r="I119" s="164"/>
      <c r="J119" s="164"/>
      <c r="K119" s="164"/>
      <c r="L119" s="164"/>
      <c r="M119" s="164"/>
      <c r="N119" s="164"/>
      <c r="O119" s="317">
        <f t="shared" si="14"/>
        <v>1815872</v>
      </c>
      <c r="P119" s="59"/>
      <c r="Q119" s="59"/>
      <c r="R119" s="248"/>
      <c r="S119" s="455"/>
    </row>
    <row r="120" spans="1:26" s="94" customFormat="1" ht="30">
      <c r="A120" s="168" t="s">
        <v>425</v>
      </c>
      <c r="B120" s="294" t="s">
        <v>498</v>
      </c>
      <c r="C120" s="164">
        <f>307929+57167+1353</f>
        <v>366449</v>
      </c>
      <c r="D120" s="164"/>
      <c r="E120" s="164"/>
      <c r="F120" s="164"/>
      <c r="G120" s="164"/>
      <c r="H120" s="164"/>
      <c r="I120" s="164"/>
      <c r="J120" s="164"/>
      <c r="K120" s="164"/>
      <c r="L120" s="164"/>
      <c r="M120" s="164"/>
      <c r="N120" s="164"/>
      <c r="O120" s="317">
        <f t="shared" si="14"/>
        <v>366449</v>
      </c>
      <c r="P120" s="59"/>
      <c r="Q120" s="59"/>
      <c r="R120" s="248"/>
      <c r="S120" s="455"/>
      <c r="U120" s="91"/>
      <c r="V120" s="91"/>
      <c r="W120" s="91"/>
      <c r="X120" s="91"/>
      <c r="Y120" s="91"/>
      <c r="Z120" s="91"/>
    </row>
    <row r="121" spans="1:19" ht="29.25">
      <c r="A121" s="162" t="s">
        <v>262</v>
      </c>
      <c r="B121" s="187" t="s">
        <v>263</v>
      </c>
      <c r="C121" s="314">
        <f>SUM(C122)</f>
        <v>0</v>
      </c>
      <c r="D121" s="314">
        <f aca="true" t="shared" si="28" ref="D121:N121">SUM(D122)</f>
        <v>0</v>
      </c>
      <c r="E121" s="314">
        <f t="shared" si="28"/>
        <v>0</v>
      </c>
      <c r="F121" s="314">
        <f t="shared" si="28"/>
        <v>0</v>
      </c>
      <c r="G121" s="314">
        <f t="shared" si="28"/>
        <v>0</v>
      </c>
      <c r="H121" s="314">
        <f t="shared" si="28"/>
        <v>0</v>
      </c>
      <c r="I121" s="314">
        <f t="shared" si="28"/>
        <v>0</v>
      </c>
      <c r="J121" s="314">
        <f t="shared" si="28"/>
        <v>0</v>
      </c>
      <c r="K121" s="314">
        <f t="shared" si="28"/>
        <v>0</v>
      </c>
      <c r="L121" s="314">
        <f t="shared" si="28"/>
        <v>0</v>
      </c>
      <c r="M121" s="314">
        <f t="shared" si="28"/>
        <v>0</v>
      </c>
      <c r="N121" s="314">
        <f t="shared" si="28"/>
        <v>0</v>
      </c>
      <c r="O121" s="317">
        <f t="shared" si="14"/>
        <v>0</v>
      </c>
      <c r="P121" s="59"/>
      <c r="Q121" s="59"/>
      <c r="R121" s="248"/>
      <c r="S121" s="455"/>
    </row>
    <row r="122" spans="1:19" ht="30.75" thickBot="1">
      <c r="A122" s="168" t="s">
        <v>468</v>
      </c>
      <c r="B122" s="184" t="s">
        <v>499</v>
      </c>
      <c r="C122" s="314"/>
      <c r="D122" s="164"/>
      <c r="E122" s="164"/>
      <c r="F122" s="164"/>
      <c r="G122" s="164"/>
      <c r="H122" s="164"/>
      <c r="I122" s="164"/>
      <c r="J122" s="164"/>
      <c r="K122" s="164"/>
      <c r="L122" s="164"/>
      <c r="M122" s="164"/>
      <c r="N122" s="164"/>
      <c r="O122" s="317">
        <f t="shared" si="14"/>
        <v>0</v>
      </c>
      <c r="P122" s="59"/>
      <c r="Q122" s="59"/>
      <c r="R122" s="248"/>
      <c r="S122" s="455"/>
    </row>
    <row r="123" spans="1:19" ht="30" thickBot="1">
      <c r="A123" s="179" t="s">
        <v>11</v>
      </c>
      <c r="B123" s="186" t="s">
        <v>97</v>
      </c>
      <c r="C123" s="313">
        <f>SUM(C124:C129)</f>
        <v>2421059</v>
      </c>
      <c r="D123" s="313">
        <f aca="true" t="shared" si="29" ref="D123:N123">SUM(D124:D129)</f>
        <v>7463377</v>
      </c>
      <c r="E123" s="313">
        <f t="shared" si="29"/>
        <v>0</v>
      </c>
      <c r="F123" s="313">
        <f t="shared" si="29"/>
        <v>269521</v>
      </c>
      <c r="G123" s="313">
        <f t="shared" si="29"/>
        <v>96216</v>
      </c>
      <c r="H123" s="313">
        <f t="shared" si="29"/>
        <v>177047</v>
      </c>
      <c r="I123" s="313">
        <f t="shared" si="29"/>
        <v>221493</v>
      </c>
      <c r="J123" s="313">
        <f t="shared" si="29"/>
        <v>318491</v>
      </c>
      <c r="K123" s="313">
        <f t="shared" si="29"/>
        <v>31873</v>
      </c>
      <c r="L123" s="313">
        <f t="shared" si="29"/>
        <v>96110</v>
      </c>
      <c r="M123" s="313">
        <f t="shared" si="29"/>
        <v>116228</v>
      </c>
      <c r="N123" s="313">
        <f t="shared" si="29"/>
        <v>110264</v>
      </c>
      <c r="O123" s="302">
        <f t="shared" si="14"/>
        <v>11321679</v>
      </c>
      <c r="P123" s="59"/>
      <c r="Q123" s="59"/>
      <c r="R123" s="248"/>
      <c r="S123" s="455"/>
    </row>
    <row r="124" spans="1:19" ht="15">
      <c r="A124" s="162" t="s">
        <v>327</v>
      </c>
      <c r="B124" s="187" t="s">
        <v>469</v>
      </c>
      <c r="C124" s="314"/>
      <c r="D124" s="124"/>
      <c r="E124" s="107"/>
      <c r="F124" s="123"/>
      <c r="G124" s="137"/>
      <c r="H124" s="213"/>
      <c r="I124" s="137"/>
      <c r="J124" s="126"/>
      <c r="K124" s="126"/>
      <c r="L124" s="126"/>
      <c r="M124" s="126"/>
      <c r="N124" s="147"/>
      <c r="O124" s="315">
        <f t="shared" si="14"/>
        <v>0</v>
      </c>
      <c r="P124" s="59"/>
      <c r="Q124" s="59"/>
      <c r="R124" s="248"/>
      <c r="S124" s="455"/>
    </row>
    <row r="125" spans="1:19" ht="15">
      <c r="A125" s="183" t="s">
        <v>387</v>
      </c>
      <c r="B125" s="184" t="s">
        <v>178</v>
      </c>
      <c r="C125" s="164"/>
      <c r="D125" s="124"/>
      <c r="E125" s="107"/>
      <c r="F125" s="123"/>
      <c r="G125" s="137"/>
      <c r="H125" s="97"/>
      <c r="I125" s="137"/>
      <c r="J125" s="126"/>
      <c r="K125" s="126"/>
      <c r="L125" s="126"/>
      <c r="M125" s="126"/>
      <c r="N125" s="147"/>
      <c r="O125" s="304">
        <f t="shared" si="14"/>
        <v>0</v>
      </c>
      <c r="P125" s="59"/>
      <c r="Q125" s="59"/>
      <c r="R125" s="248"/>
      <c r="S125" s="455"/>
    </row>
    <row r="126" spans="1:19" ht="15">
      <c r="A126" s="166" t="s">
        <v>470</v>
      </c>
      <c r="B126" s="170" t="s">
        <v>264</v>
      </c>
      <c r="C126" s="110">
        <f>458210+4769</f>
        <v>462979</v>
      </c>
      <c r="D126" s="53"/>
      <c r="E126" s="37"/>
      <c r="F126" s="110"/>
      <c r="G126" s="128"/>
      <c r="H126" s="128"/>
      <c r="I126" s="128"/>
      <c r="J126" s="127"/>
      <c r="K126" s="127"/>
      <c r="L126" s="127"/>
      <c r="M126" s="127"/>
      <c r="N126" s="130"/>
      <c r="O126" s="317">
        <f t="shared" si="14"/>
        <v>462979</v>
      </c>
      <c r="P126" s="59"/>
      <c r="Q126" s="59"/>
      <c r="R126" s="248"/>
      <c r="S126" s="455"/>
    </row>
    <row r="127" spans="1:19" ht="15">
      <c r="A127" s="166" t="s">
        <v>98</v>
      </c>
      <c r="B127" s="170" t="s">
        <v>99</v>
      </c>
      <c r="C127" s="286"/>
      <c r="D127" s="37">
        <v>239960</v>
      </c>
      <c r="E127" s="37"/>
      <c r="F127" s="110">
        <f>34544-2911</f>
        <v>31633</v>
      </c>
      <c r="G127" s="115"/>
      <c r="H127" s="115">
        <v>17020</v>
      </c>
      <c r="I127" s="115">
        <v>15773</v>
      </c>
      <c r="J127" s="127">
        <v>49081</v>
      </c>
      <c r="K127" s="127">
        <f>5000-2500</f>
        <v>2500</v>
      </c>
      <c r="L127" s="127">
        <v>5424</v>
      </c>
      <c r="M127" s="127">
        <v>102308</v>
      </c>
      <c r="N127" s="130">
        <v>4550</v>
      </c>
      <c r="O127" s="317">
        <f aca="true" t="shared" si="30" ref="O127:O186">SUM(C127:N127)</f>
        <v>468249</v>
      </c>
      <c r="P127" s="59"/>
      <c r="Q127" s="59"/>
      <c r="R127" s="248"/>
      <c r="S127" s="455"/>
    </row>
    <row r="128" spans="1:19" ht="15">
      <c r="A128" s="166" t="s">
        <v>517</v>
      </c>
      <c r="B128" s="170" t="s">
        <v>100</v>
      </c>
      <c r="C128" s="167">
        <f>538579+2987</f>
        <v>541566</v>
      </c>
      <c r="D128" s="37">
        <v>147823</v>
      </c>
      <c r="E128" s="37"/>
      <c r="F128" s="110"/>
      <c r="G128" s="115">
        <v>5400</v>
      </c>
      <c r="H128" s="115">
        <v>1200</v>
      </c>
      <c r="I128" s="128"/>
      <c r="J128" s="127">
        <v>4225</v>
      </c>
      <c r="K128" s="127"/>
      <c r="L128" s="127"/>
      <c r="M128" s="127">
        <v>1500</v>
      </c>
      <c r="N128" s="130"/>
      <c r="O128" s="317">
        <f t="shared" si="30"/>
        <v>701714</v>
      </c>
      <c r="P128" s="59"/>
      <c r="Q128" s="59"/>
      <c r="R128" s="248"/>
      <c r="S128" s="455"/>
    </row>
    <row r="129" spans="1:19" ht="43.5">
      <c r="A129" s="166" t="s">
        <v>101</v>
      </c>
      <c r="B129" s="170" t="s">
        <v>102</v>
      </c>
      <c r="C129" s="316">
        <f>SUM(C130:C144)</f>
        <v>1416514</v>
      </c>
      <c r="D129" s="167">
        <f aca="true" t="shared" si="31" ref="D129:N129">SUM(D130:D143)</f>
        <v>7075594</v>
      </c>
      <c r="E129" s="316">
        <f t="shared" si="31"/>
        <v>0</v>
      </c>
      <c r="F129" s="316">
        <f t="shared" si="31"/>
        <v>237888</v>
      </c>
      <c r="G129" s="316">
        <f t="shared" si="31"/>
        <v>90816</v>
      </c>
      <c r="H129" s="316">
        <f t="shared" si="31"/>
        <v>158827</v>
      </c>
      <c r="I129" s="316">
        <f t="shared" si="31"/>
        <v>205720</v>
      </c>
      <c r="J129" s="316">
        <f t="shared" si="31"/>
        <v>265185</v>
      </c>
      <c r="K129" s="316">
        <f t="shared" si="31"/>
        <v>29373</v>
      </c>
      <c r="L129" s="316">
        <f t="shared" si="31"/>
        <v>90686</v>
      </c>
      <c r="M129" s="316">
        <f t="shared" si="31"/>
        <v>12420</v>
      </c>
      <c r="N129" s="316">
        <f t="shared" si="31"/>
        <v>105714</v>
      </c>
      <c r="O129" s="317">
        <f t="shared" si="30"/>
        <v>9688737</v>
      </c>
      <c r="P129" s="59"/>
      <c r="Q129" s="59"/>
      <c r="R129" s="248"/>
      <c r="S129" s="455"/>
    </row>
    <row r="130" spans="1:19" ht="15">
      <c r="A130" s="168" t="s">
        <v>265</v>
      </c>
      <c r="B130" s="185" t="s">
        <v>474</v>
      </c>
      <c r="C130" s="286"/>
      <c r="D130" s="37">
        <f>4324589-5685</f>
        <v>4318904</v>
      </c>
      <c r="E130" s="37"/>
      <c r="F130" s="110">
        <f>67571+517</f>
        <v>68088</v>
      </c>
      <c r="G130" s="221"/>
      <c r="H130" s="125">
        <f>1050+4050</f>
        <v>5100</v>
      </c>
      <c r="I130" s="115">
        <v>8335</v>
      </c>
      <c r="J130" s="127">
        <v>3680</v>
      </c>
      <c r="K130" s="127"/>
      <c r="L130" s="127"/>
      <c r="M130" s="127"/>
      <c r="N130" s="127">
        <v>102864</v>
      </c>
      <c r="O130" s="317">
        <f t="shared" si="30"/>
        <v>4506971</v>
      </c>
      <c r="P130" s="59"/>
      <c r="Q130" s="59"/>
      <c r="R130" s="248"/>
      <c r="S130" s="455"/>
    </row>
    <row r="131" spans="1:19" ht="15">
      <c r="A131" s="168" t="s">
        <v>266</v>
      </c>
      <c r="B131" s="185" t="s">
        <v>475</v>
      </c>
      <c r="C131" s="286"/>
      <c r="D131" s="37">
        <v>2732435</v>
      </c>
      <c r="E131" s="37"/>
      <c r="F131" s="110">
        <f>168800+1000</f>
        <v>169800</v>
      </c>
      <c r="G131" s="221"/>
      <c r="H131" s="115">
        <v>113871</v>
      </c>
      <c r="I131" s="115">
        <v>87356</v>
      </c>
      <c r="J131" s="127">
        <v>129120</v>
      </c>
      <c r="K131" s="127"/>
      <c r="L131" s="127"/>
      <c r="M131" s="127"/>
      <c r="N131" s="130"/>
      <c r="O131" s="317">
        <f t="shared" si="30"/>
        <v>3232582</v>
      </c>
      <c r="P131" s="59"/>
      <c r="Q131" s="59"/>
      <c r="R131" s="248"/>
      <c r="S131" s="455"/>
    </row>
    <row r="132" spans="1:19" ht="15">
      <c r="A132" s="168" t="s">
        <v>267</v>
      </c>
      <c r="B132" s="185" t="s">
        <v>476</v>
      </c>
      <c r="C132" s="286">
        <v>26940</v>
      </c>
      <c r="D132" s="37">
        <v>24255</v>
      </c>
      <c r="E132" s="37"/>
      <c r="F132" s="110"/>
      <c r="G132" s="115">
        <v>12966</v>
      </c>
      <c r="H132" s="128"/>
      <c r="I132" s="128"/>
      <c r="J132" s="127">
        <v>11224</v>
      </c>
      <c r="K132" s="127">
        <v>4544</v>
      </c>
      <c r="L132" s="127"/>
      <c r="M132" s="127">
        <v>6304</v>
      </c>
      <c r="N132" s="130"/>
      <c r="O132" s="317">
        <f t="shared" si="30"/>
        <v>86233</v>
      </c>
      <c r="P132" s="59"/>
      <c r="Q132" s="59"/>
      <c r="R132" s="248"/>
      <c r="S132" s="455"/>
    </row>
    <row r="133" spans="1:19" ht="45">
      <c r="A133" s="168" t="s">
        <v>471</v>
      </c>
      <c r="B133" s="184" t="s">
        <v>648</v>
      </c>
      <c r="C133" s="123">
        <v>19250</v>
      </c>
      <c r="D133" s="37"/>
      <c r="E133" s="37"/>
      <c r="F133" s="110"/>
      <c r="G133" s="115"/>
      <c r="H133" s="128"/>
      <c r="I133" s="128"/>
      <c r="J133" s="127"/>
      <c r="K133" s="127"/>
      <c r="L133" s="127"/>
      <c r="M133" s="127"/>
      <c r="N133" s="130"/>
      <c r="O133" s="317">
        <f t="shared" si="30"/>
        <v>19250</v>
      </c>
      <c r="P133" s="59"/>
      <c r="Q133" s="59"/>
      <c r="R133" s="248"/>
      <c r="S133" s="455"/>
    </row>
    <row r="134" spans="1:19" ht="30">
      <c r="A134" s="168" t="s">
        <v>268</v>
      </c>
      <c r="B134" s="185" t="s">
        <v>472</v>
      </c>
      <c r="C134" s="320">
        <f>43600-20199</f>
        <v>23401</v>
      </c>
      <c r="D134" s="37"/>
      <c r="E134" s="37"/>
      <c r="F134" s="110"/>
      <c r="G134" s="115">
        <v>4022</v>
      </c>
      <c r="H134" s="115">
        <v>2766</v>
      </c>
      <c r="I134" s="115">
        <v>1425</v>
      </c>
      <c r="J134" s="127">
        <v>4172</v>
      </c>
      <c r="K134" s="127"/>
      <c r="L134" s="127">
        <v>3000</v>
      </c>
      <c r="M134" s="127">
        <v>1964</v>
      </c>
      <c r="N134" s="130">
        <v>2850</v>
      </c>
      <c r="O134" s="317">
        <f t="shared" si="30"/>
        <v>43600</v>
      </c>
      <c r="P134" s="59"/>
      <c r="Q134" s="59"/>
      <c r="R134" s="248"/>
      <c r="S134" s="455"/>
    </row>
    <row r="135" spans="1:19" ht="30">
      <c r="A135" s="168" t="s">
        <v>269</v>
      </c>
      <c r="B135" s="184" t="s">
        <v>347</v>
      </c>
      <c r="C135" s="320">
        <v>40000</v>
      </c>
      <c r="D135" s="37"/>
      <c r="E135" s="37"/>
      <c r="F135" s="110"/>
      <c r="G135" s="115">
        <v>6467</v>
      </c>
      <c r="H135" s="128"/>
      <c r="I135" s="115">
        <v>9000</v>
      </c>
      <c r="J135" s="127">
        <v>2768</v>
      </c>
      <c r="K135" s="127"/>
      <c r="L135" s="127"/>
      <c r="M135" s="127"/>
      <c r="N135" s="130"/>
      <c r="O135" s="317">
        <f t="shared" si="30"/>
        <v>58235</v>
      </c>
      <c r="P135" s="59"/>
      <c r="Q135" s="59"/>
      <c r="R135" s="248"/>
      <c r="S135" s="455"/>
    </row>
    <row r="136" spans="1:19" ht="15">
      <c r="A136" s="168" t="s">
        <v>270</v>
      </c>
      <c r="B136" s="190" t="s">
        <v>179</v>
      </c>
      <c r="C136" s="286">
        <v>35000</v>
      </c>
      <c r="D136" s="110"/>
      <c r="E136" s="110"/>
      <c r="F136" s="110"/>
      <c r="G136" s="115">
        <v>26209</v>
      </c>
      <c r="H136" s="128"/>
      <c r="I136" s="115">
        <v>99604</v>
      </c>
      <c r="J136" s="127"/>
      <c r="K136" s="127"/>
      <c r="L136" s="127"/>
      <c r="M136" s="127"/>
      <c r="N136" s="130"/>
      <c r="O136" s="317">
        <f t="shared" si="30"/>
        <v>160813</v>
      </c>
      <c r="P136" s="59"/>
      <c r="Q136" s="59"/>
      <c r="R136" s="248"/>
      <c r="S136" s="455"/>
    </row>
    <row r="137" spans="1:19" ht="17.25" customHeight="1">
      <c r="A137" s="168" t="s">
        <v>271</v>
      </c>
      <c r="B137" s="185" t="s">
        <v>477</v>
      </c>
      <c r="C137" s="37">
        <f>3000-187+3000</f>
        <v>5813</v>
      </c>
      <c r="D137" s="37"/>
      <c r="E137" s="37"/>
      <c r="F137" s="110"/>
      <c r="G137" s="128"/>
      <c r="H137" s="128"/>
      <c r="I137" s="128"/>
      <c r="J137" s="127"/>
      <c r="K137" s="127"/>
      <c r="L137" s="127"/>
      <c r="M137" s="127"/>
      <c r="N137" s="130"/>
      <c r="O137" s="317">
        <f t="shared" si="30"/>
        <v>5813</v>
      </c>
      <c r="P137" s="59"/>
      <c r="Q137" s="59"/>
      <c r="R137" s="248"/>
      <c r="S137" s="455"/>
    </row>
    <row r="138" spans="1:19" ht="15">
      <c r="A138" s="168" t="s">
        <v>272</v>
      </c>
      <c r="B138" s="185" t="s">
        <v>273</v>
      </c>
      <c r="C138" s="286"/>
      <c r="D138" s="110"/>
      <c r="E138" s="110"/>
      <c r="F138" s="110"/>
      <c r="G138" s="128"/>
      <c r="H138" s="115">
        <v>37090</v>
      </c>
      <c r="I138" s="128"/>
      <c r="J138" s="231">
        <v>114221</v>
      </c>
      <c r="K138" s="130">
        <v>24829</v>
      </c>
      <c r="L138" s="127">
        <v>79458</v>
      </c>
      <c r="M138" s="127"/>
      <c r="N138" s="192"/>
      <c r="O138" s="317">
        <f t="shared" si="30"/>
        <v>255598</v>
      </c>
      <c r="P138" s="59"/>
      <c r="Q138" s="59"/>
      <c r="R138" s="248"/>
      <c r="S138" s="455"/>
    </row>
    <row r="139" spans="1:19" ht="30">
      <c r="A139" s="168" t="s">
        <v>338</v>
      </c>
      <c r="B139" s="185" t="s">
        <v>496</v>
      </c>
      <c r="C139" s="286">
        <f>135387+150078+22029</f>
        <v>307494</v>
      </c>
      <c r="D139" s="110"/>
      <c r="E139" s="110"/>
      <c r="F139" s="110"/>
      <c r="G139" s="128"/>
      <c r="H139" s="115"/>
      <c r="I139" s="128"/>
      <c r="J139" s="231"/>
      <c r="K139" s="130"/>
      <c r="L139" s="127"/>
      <c r="M139" s="127"/>
      <c r="N139" s="192"/>
      <c r="O139" s="317">
        <f t="shared" si="30"/>
        <v>307494</v>
      </c>
      <c r="P139" s="59"/>
      <c r="Q139" s="59"/>
      <c r="R139" s="248"/>
      <c r="S139" s="455"/>
    </row>
    <row r="140" spans="1:19" ht="15">
      <c r="A140" s="168" t="s">
        <v>495</v>
      </c>
      <c r="B140" s="184" t="s">
        <v>473</v>
      </c>
      <c r="C140" s="110">
        <f>316248+17676</f>
        <v>333924</v>
      </c>
      <c r="D140" s="110"/>
      <c r="E140" s="110"/>
      <c r="F140" s="110"/>
      <c r="G140" s="115">
        <v>41152</v>
      </c>
      <c r="H140" s="115"/>
      <c r="I140" s="128"/>
      <c r="J140" s="231"/>
      <c r="K140" s="130"/>
      <c r="L140" s="127"/>
      <c r="M140" s="127">
        <v>4152</v>
      </c>
      <c r="N140" s="192"/>
      <c r="O140" s="317">
        <f t="shared" si="30"/>
        <v>379228</v>
      </c>
      <c r="P140" s="59"/>
      <c r="Q140" s="59"/>
      <c r="R140" s="248"/>
      <c r="S140" s="455"/>
    </row>
    <row r="141" spans="1:19" ht="60">
      <c r="A141" s="168" t="s">
        <v>636</v>
      </c>
      <c r="B141" s="184" t="s">
        <v>637</v>
      </c>
      <c r="C141" s="110">
        <v>62370</v>
      </c>
      <c r="D141" s="110"/>
      <c r="E141" s="110"/>
      <c r="F141" s="110"/>
      <c r="G141" s="115"/>
      <c r="H141" s="115"/>
      <c r="I141" s="128"/>
      <c r="J141" s="231"/>
      <c r="K141" s="130"/>
      <c r="L141" s="127"/>
      <c r="M141" s="127"/>
      <c r="N141" s="192"/>
      <c r="O141" s="317">
        <f t="shared" si="30"/>
        <v>62370</v>
      </c>
      <c r="P141" s="59"/>
      <c r="Q141" s="59"/>
      <c r="R141" s="248"/>
      <c r="S141" s="455"/>
    </row>
    <row r="142" spans="1:19" ht="15">
      <c r="A142" s="168" t="s">
        <v>507</v>
      </c>
      <c r="B142" s="185" t="s">
        <v>497</v>
      </c>
      <c r="C142" s="286"/>
      <c r="D142" s="110"/>
      <c r="E142" s="110"/>
      <c r="F142" s="110"/>
      <c r="G142" s="196"/>
      <c r="H142" s="196"/>
      <c r="I142" s="196"/>
      <c r="J142" s="326"/>
      <c r="K142" s="130"/>
      <c r="L142" s="127">
        <v>8228</v>
      </c>
      <c r="M142" s="130"/>
      <c r="N142" s="192"/>
      <c r="O142" s="303">
        <f t="shared" si="30"/>
        <v>8228</v>
      </c>
      <c r="P142" s="59"/>
      <c r="Q142" s="59"/>
      <c r="R142" s="248"/>
      <c r="S142" s="455"/>
    </row>
    <row r="143" spans="1:19" ht="30">
      <c r="A143" s="168" t="s">
        <v>515</v>
      </c>
      <c r="B143" s="185" t="s">
        <v>516</v>
      </c>
      <c r="C143" s="110">
        <v>11570</v>
      </c>
      <c r="D143" s="110"/>
      <c r="E143" s="110"/>
      <c r="F143" s="110"/>
      <c r="G143" s="196"/>
      <c r="H143" s="196"/>
      <c r="I143" s="196"/>
      <c r="J143" s="326"/>
      <c r="K143" s="130"/>
      <c r="L143" s="130"/>
      <c r="M143" s="130"/>
      <c r="N143" s="192"/>
      <c r="O143" s="303">
        <f t="shared" si="30"/>
        <v>11570</v>
      </c>
      <c r="P143" s="59"/>
      <c r="Q143" s="59"/>
      <c r="R143" s="248"/>
      <c r="S143" s="455"/>
    </row>
    <row r="144" spans="1:19" ht="30.75" thickBot="1">
      <c r="A144" s="364" t="s">
        <v>654</v>
      </c>
      <c r="B144" s="513" t="s">
        <v>667</v>
      </c>
      <c r="C144" s="141">
        <f>613213-62461</f>
        <v>550752</v>
      </c>
      <c r="D144" s="141"/>
      <c r="E144" s="141"/>
      <c r="F144" s="141"/>
      <c r="G144" s="290"/>
      <c r="H144" s="290"/>
      <c r="I144" s="290"/>
      <c r="J144" s="328"/>
      <c r="K144" s="191"/>
      <c r="L144" s="191"/>
      <c r="M144" s="191"/>
      <c r="N144" s="191"/>
      <c r="O144" s="303">
        <f t="shared" si="30"/>
        <v>550752</v>
      </c>
      <c r="P144" s="59"/>
      <c r="Q144" s="59"/>
      <c r="R144" s="248"/>
      <c r="S144" s="455"/>
    </row>
    <row r="145" spans="1:26" ht="15.75" thickBot="1">
      <c r="A145" s="179" t="s">
        <v>12</v>
      </c>
      <c r="B145" s="102" t="s">
        <v>103</v>
      </c>
      <c r="C145" s="313">
        <f>SUM(C146+C148+C149)</f>
        <v>177703</v>
      </c>
      <c r="D145" s="313">
        <f aca="true" t="shared" si="32" ref="D145:N145">SUM(D146+D148+D149)</f>
        <v>0</v>
      </c>
      <c r="E145" s="313">
        <f t="shared" si="32"/>
        <v>0</v>
      </c>
      <c r="F145" s="313">
        <f t="shared" si="32"/>
        <v>0</v>
      </c>
      <c r="G145" s="313">
        <f t="shared" si="32"/>
        <v>1930</v>
      </c>
      <c r="H145" s="313">
        <f t="shared" si="32"/>
        <v>0</v>
      </c>
      <c r="I145" s="313">
        <f t="shared" si="32"/>
        <v>0</v>
      </c>
      <c r="J145" s="313">
        <f t="shared" si="32"/>
        <v>0</v>
      </c>
      <c r="K145" s="313">
        <f t="shared" si="32"/>
        <v>3194</v>
      </c>
      <c r="L145" s="313">
        <f t="shared" si="32"/>
        <v>25875</v>
      </c>
      <c r="M145" s="313">
        <f t="shared" si="32"/>
        <v>600</v>
      </c>
      <c r="N145" s="313">
        <f t="shared" si="32"/>
        <v>1240</v>
      </c>
      <c r="O145" s="302">
        <f t="shared" si="30"/>
        <v>210542</v>
      </c>
      <c r="P145" s="59"/>
      <c r="Q145" s="59"/>
      <c r="R145" s="248"/>
      <c r="S145" s="455"/>
      <c r="U145" s="94"/>
      <c r="V145" s="94"/>
      <c r="W145" s="94"/>
      <c r="X145" s="94"/>
      <c r="Y145" s="94"/>
      <c r="Z145" s="94"/>
    </row>
    <row r="146" spans="1:26" s="94" customFormat="1" ht="15">
      <c r="A146" s="162" t="s">
        <v>104</v>
      </c>
      <c r="B146" s="163" t="s">
        <v>105</v>
      </c>
      <c r="C146" s="314">
        <f>SUM(C147:C147)</f>
        <v>0</v>
      </c>
      <c r="D146" s="164">
        <f aca="true" t="shared" si="33" ref="D146:N146">SUM(D147:D147)</f>
        <v>0</v>
      </c>
      <c r="E146" s="164">
        <f t="shared" si="33"/>
        <v>0</v>
      </c>
      <c r="F146" s="164">
        <f t="shared" si="33"/>
        <v>0</v>
      </c>
      <c r="G146" s="124">
        <f t="shared" si="33"/>
        <v>1930</v>
      </c>
      <c r="H146" s="164">
        <f t="shared" si="33"/>
        <v>0</v>
      </c>
      <c r="I146" s="164">
        <f t="shared" si="33"/>
        <v>0</v>
      </c>
      <c r="J146" s="164">
        <f t="shared" si="33"/>
        <v>0</v>
      </c>
      <c r="K146" s="164">
        <f t="shared" si="33"/>
        <v>3194</v>
      </c>
      <c r="L146" s="164">
        <f t="shared" si="33"/>
        <v>25875</v>
      </c>
      <c r="M146" s="164">
        <f t="shared" si="33"/>
        <v>600</v>
      </c>
      <c r="N146" s="164">
        <f t="shared" si="33"/>
        <v>1240</v>
      </c>
      <c r="O146" s="303">
        <f t="shared" si="30"/>
        <v>32839</v>
      </c>
      <c r="P146" s="59"/>
      <c r="Q146" s="59"/>
      <c r="R146" s="248"/>
      <c r="S146" s="455"/>
      <c r="U146" s="91"/>
      <c r="V146" s="91"/>
      <c r="W146" s="91"/>
      <c r="X146" s="91"/>
      <c r="Y146" s="91"/>
      <c r="Z146" s="91"/>
    </row>
    <row r="147" spans="1:19" ht="15">
      <c r="A147" s="168" t="s">
        <v>478</v>
      </c>
      <c r="B147" s="109" t="s">
        <v>180</v>
      </c>
      <c r="C147" s="286"/>
      <c r="D147" s="37"/>
      <c r="E147" s="37"/>
      <c r="F147" s="110"/>
      <c r="G147" s="115">
        <v>1930</v>
      </c>
      <c r="H147" s="128"/>
      <c r="I147" s="128"/>
      <c r="J147" s="127"/>
      <c r="K147" s="127">
        <v>3194</v>
      </c>
      <c r="L147" s="127">
        <v>25875</v>
      </c>
      <c r="M147" s="127">
        <v>600</v>
      </c>
      <c r="N147" s="130">
        <v>1240</v>
      </c>
      <c r="O147" s="317">
        <f t="shared" si="30"/>
        <v>32839</v>
      </c>
      <c r="P147" s="59"/>
      <c r="Q147" s="59"/>
      <c r="R147" s="248"/>
      <c r="S147" s="455"/>
    </row>
    <row r="148" spans="1:19" ht="31.5" customHeight="1">
      <c r="A148" s="168" t="s">
        <v>437</v>
      </c>
      <c r="B148" s="109" t="s">
        <v>503</v>
      </c>
      <c r="C148" s="286">
        <v>174516</v>
      </c>
      <c r="D148" s="110"/>
      <c r="E148" s="110"/>
      <c r="F148" s="110"/>
      <c r="G148" s="367"/>
      <c r="H148" s="196"/>
      <c r="I148" s="196"/>
      <c r="J148" s="130"/>
      <c r="K148" s="130"/>
      <c r="L148" s="130"/>
      <c r="M148" s="130"/>
      <c r="N148" s="192"/>
      <c r="O148" s="317">
        <f t="shared" si="30"/>
        <v>174516</v>
      </c>
      <c r="P148" s="59"/>
      <c r="Q148" s="59"/>
      <c r="R148" s="248"/>
      <c r="S148" s="455"/>
    </row>
    <row r="149" spans="1:19" ht="19.5" customHeight="1" thickBot="1">
      <c r="A149" s="168" t="s">
        <v>653</v>
      </c>
      <c r="B149" s="329" t="s">
        <v>658</v>
      </c>
      <c r="C149" s="321">
        <f>19056-15869</f>
        <v>3187</v>
      </c>
      <c r="D149" s="141"/>
      <c r="E149" s="141"/>
      <c r="F149" s="141"/>
      <c r="G149" s="330"/>
      <c r="H149" s="290"/>
      <c r="I149" s="290"/>
      <c r="J149" s="191"/>
      <c r="K149" s="191"/>
      <c r="L149" s="191"/>
      <c r="M149" s="191"/>
      <c r="N149" s="191"/>
      <c r="O149" s="317">
        <f t="shared" si="30"/>
        <v>3187</v>
      </c>
      <c r="P149" s="59"/>
      <c r="Q149" s="59"/>
      <c r="R149" s="248"/>
      <c r="S149" s="455"/>
    </row>
    <row r="150" spans="1:19" ht="15.75" thickBot="1">
      <c r="A150" s="179" t="s">
        <v>14</v>
      </c>
      <c r="B150" s="102" t="s">
        <v>106</v>
      </c>
      <c r="C150" s="313">
        <f>C151+C155+C186+C189</f>
        <v>3516030</v>
      </c>
      <c r="D150" s="313">
        <f aca="true" t="shared" si="34" ref="D150:M150">D151+D155+D187+D188+D189</f>
        <v>311775</v>
      </c>
      <c r="E150" s="313">
        <f t="shared" si="34"/>
        <v>1568105</v>
      </c>
      <c r="F150" s="313">
        <f t="shared" si="34"/>
        <v>0</v>
      </c>
      <c r="G150" s="313">
        <f t="shared" si="34"/>
        <v>216440</v>
      </c>
      <c r="H150" s="313">
        <f t="shared" si="34"/>
        <v>94024</v>
      </c>
      <c r="I150" s="313">
        <f t="shared" si="34"/>
        <v>116307</v>
      </c>
      <c r="J150" s="313">
        <f t="shared" si="34"/>
        <v>237555</v>
      </c>
      <c r="K150" s="313">
        <f t="shared" si="34"/>
        <v>39776</v>
      </c>
      <c r="L150" s="313">
        <f t="shared" si="34"/>
        <v>36725</v>
      </c>
      <c r="M150" s="313">
        <f t="shared" si="34"/>
        <v>86039</v>
      </c>
      <c r="N150" s="313">
        <f>N151+N155+N187+N188+N189</f>
        <v>75336</v>
      </c>
      <c r="O150" s="302">
        <f t="shared" si="30"/>
        <v>6298112</v>
      </c>
      <c r="P150" s="59"/>
      <c r="Q150" s="59"/>
      <c r="R150" s="248"/>
      <c r="S150" s="455"/>
    </row>
    <row r="151" spans="1:19" ht="15">
      <c r="A151" s="162" t="s">
        <v>107</v>
      </c>
      <c r="B151" s="163" t="s">
        <v>108</v>
      </c>
      <c r="C151" s="314">
        <f>SUM(C152:C154)</f>
        <v>291419</v>
      </c>
      <c r="D151" s="164">
        <f>SUM(D152:D154)</f>
        <v>311775</v>
      </c>
      <c r="E151" s="164">
        <f aca="true" t="shared" si="35" ref="E151:M151">SUM(E152:E154)</f>
        <v>0</v>
      </c>
      <c r="F151" s="164">
        <f t="shared" si="35"/>
        <v>0</v>
      </c>
      <c r="G151" s="164">
        <f t="shared" si="35"/>
        <v>5365</v>
      </c>
      <c r="H151" s="164">
        <f t="shared" si="35"/>
        <v>0</v>
      </c>
      <c r="I151" s="164">
        <f t="shared" si="35"/>
        <v>0</v>
      </c>
      <c r="J151" s="164">
        <f>SUM(J152:J154)</f>
        <v>7372</v>
      </c>
      <c r="K151" s="164">
        <f t="shared" si="35"/>
        <v>0</v>
      </c>
      <c r="L151" s="164">
        <f t="shared" si="35"/>
        <v>0</v>
      </c>
      <c r="M151" s="164">
        <f t="shared" si="35"/>
        <v>9896</v>
      </c>
      <c r="N151" s="164">
        <f>SUM(N152:N154)</f>
        <v>0</v>
      </c>
      <c r="O151" s="325">
        <f t="shared" si="30"/>
        <v>625827</v>
      </c>
      <c r="P151" s="59"/>
      <c r="Q151" s="59"/>
      <c r="R151" s="248"/>
      <c r="S151" s="455"/>
    </row>
    <row r="152" spans="1:19" ht="15">
      <c r="A152" s="168" t="s">
        <v>274</v>
      </c>
      <c r="B152" s="109" t="s">
        <v>109</v>
      </c>
      <c r="C152" s="286">
        <v>51685</v>
      </c>
      <c r="D152" s="37"/>
      <c r="E152" s="37"/>
      <c r="F152" s="110"/>
      <c r="G152" s="115">
        <v>5365</v>
      </c>
      <c r="H152" s="128"/>
      <c r="I152" s="128"/>
      <c r="J152" s="127">
        <v>7372</v>
      </c>
      <c r="K152" s="127"/>
      <c r="L152" s="127"/>
      <c r="M152" s="127">
        <v>9896</v>
      </c>
      <c r="N152" s="130"/>
      <c r="O152" s="317">
        <f t="shared" si="30"/>
        <v>74318</v>
      </c>
      <c r="P152" s="59"/>
      <c r="Q152" s="59"/>
      <c r="R152" s="248"/>
      <c r="S152" s="455"/>
    </row>
    <row r="153" spans="1:19" ht="30">
      <c r="A153" s="168" t="s">
        <v>275</v>
      </c>
      <c r="B153" s="109" t="s">
        <v>110</v>
      </c>
      <c r="C153" s="286">
        <f>225260+14474</f>
        <v>239734</v>
      </c>
      <c r="D153" s="37"/>
      <c r="E153" s="37"/>
      <c r="F153" s="110"/>
      <c r="G153" s="115"/>
      <c r="H153" s="128"/>
      <c r="I153" s="128"/>
      <c r="J153" s="127"/>
      <c r="K153" s="127"/>
      <c r="L153" s="127"/>
      <c r="M153" s="127"/>
      <c r="N153" s="130"/>
      <c r="O153" s="317">
        <f t="shared" si="30"/>
        <v>239734</v>
      </c>
      <c r="P153" s="59"/>
      <c r="Q153" s="59"/>
      <c r="R153" s="248"/>
      <c r="S153" s="455"/>
    </row>
    <row r="154" spans="1:19" ht="15">
      <c r="A154" s="168" t="s">
        <v>388</v>
      </c>
      <c r="B154" s="109" t="s">
        <v>389</v>
      </c>
      <c r="C154" s="286"/>
      <c r="D154" s="110">
        <v>311775</v>
      </c>
      <c r="E154" s="110"/>
      <c r="F154" s="110"/>
      <c r="G154" s="128"/>
      <c r="H154" s="196"/>
      <c r="I154" s="196"/>
      <c r="J154" s="130"/>
      <c r="K154" s="130"/>
      <c r="L154" s="130"/>
      <c r="M154" s="130"/>
      <c r="N154" s="130"/>
      <c r="O154" s="317">
        <f t="shared" si="30"/>
        <v>311775</v>
      </c>
      <c r="P154" s="59"/>
      <c r="Q154" s="59"/>
      <c r="R154" s="248"/>
      <c r="S154" s="455"/>
    </row>
    <row r="155" spans="1:19" ht="15">
      <c r="A155" s="166" t="s">
        <v>111</v>
      </c>
      <c r="B155" s="170" t="s">
        <v>13</v>
      </c>
      <c r="C155" s="316">
        <f>SUM(C156+C157+C162+C168)</f>
        <v>3052463</v>
      </c>
      <c r="D155" s="316">
        <f aca="true" t="shared" si="36" ref="D155:M155">SUM(D156+D157+D162+D168)</f>
        <v>0</v>
      </c>
      <c r="E155" s="316">
        <f>SUM(E156+E157+E162+E168)</f>
        <v>1568105</v>
      </c>
      <c r="F155" s="316">
        <f t="shared" si="36"/>
        <v>0</v>
      </c>
      <c r="G155" s="316">
        <f>SUM(G156+G157+G162+G168)</f>
        <v>211075</v>
      </c>
      <c r="H155" s="316">
        <f>SUM(H156+H157+H162+H168)</f>
        <v>94024</v>
      </c>
      <c r="I155" s="316">
        <f t="shared" si="36"/>
        <v>113177</v>
      </c>
      <c r="J155" s="316">
        <f>SUM(J156+J157+J162+J168)</f>
        <v>226394</v>
      </c>
      <c r="K155" s="316">
        <f t="shared" si="36"/>
        <v>39776</v>
      </c>
      <c r="L155" s="316">
        <f t="shared" si="36"/>
        <v>36725</v>
      </c>
      <c r="M155" s="316">
        <f t="shared" si="36"/>
        <v>76143</v>
      </c>
      <c r="N155" s="316">
        <f>SUM(N156+N157+N162+N168)</f>
        <v>75336</v>
      </c>
      <c r="O155" s="317">
        <f t="shared" si="30"/>
        <v>5493218</v>
      </c>
      <c r="P155" s="59"/>
      <c r="Q155" s="59"/>
      <c r="R155" s="248"/>
      <c r="S155" s="455"/>
    </row>
    <row r="156" spans="1:19" ht="15">
      <c r="A156" s="168" t="s">
        <v>552</v>
      </c>
      <c r="B156" s="109" t="s">
        <v>181</v>
      </c>
      <c r="C156" s="286">
        <f>359158+29282</f>
        <v>388440</v>
      </c>
      <c r="D156" s="37"/>
      <c r="E156" s="37"/>
      <c r="F156" s="110"/>
      <c r="G156" s="221">
        <v>30074</v>
      </c>
      <c r="H156" s="115">
        <v>30825</v>
      </c>
      <c r="I156" s="115">
        <v>13449</v>
      </c>
      <c r="J156" s="127">
        <v>28780</v>
      </c>
      <c r="K156" s="127">
        <v>14927</v>
      </c>
      <c r="L156" s="127">
        <v>13071</v>
      </c>
      <c r="M156" s="127">
        <v>15237</v>
      </c>
      <c r="N156" s="171">
        <v>16130</v>
      </c>
      <c r="O156" s="317">
        <f t="shared" si="30"/>
        <v>550933</v>
      </c>
      <c r="P156" s="59"/>
      <c r="Q156" s="59"/>
      <c r="R156" s="248"/>
      <c r="S156" s="455"/>
    </row>
    <row r="157" spans="1:19" ht="15">
      <c r="A157" s="168" t="s">
        <v>276</v>
      </c>
      <c r="B157" s="109" t="s">
        <v>157</v>
      </c>
      <c r="C157" s="286">
        <f>SUM(C158:C160)</f>
        <v>675953</v>
      </c>
      <c r="D157" s="286">
        <f aca="true" t="shared" si="37" ref="D157:L157">SUM(D158:D160)</f>
        <v>0</v>
      </c>
      <c r="E157" s="286">
        <f>SUM(E158:E160)</f>
        <v>0</v>
      </c>
      <c r="F157" s="286">
        <f t="shared" si="37"/>
        <v>0</v>
      </c>
      <c r="G157" s="286">
        <f t="shared" si="37"/>
        <v>0</v>
      </c>
      <c r="H157" s="286">
        <f t="shared" si="37"/>
        <v>0</v>
      </c>
      <c r="I157" s="286">
        <f t="shared" si="37"/>
        <v>0</v>
      </c>
      <c r="J157" s="286">
        <f>SUM(J158:J160)</f>
        <v>0</v>
      </c>
      <c r="K157" s="286">
        <f t="shared" si="37"/>
        <v>0</v>
      </c>
      <c r="L157" s="286">
        <f t="shared" si="37"/>
        <v>0</v>
      </c>
      <c r="M157" s="286">
        <f>SUM(M158:M161)</f>
        <v>5208</v>
      </c>
      <c r="N157" s="286">
        <f>SUM(N158:N160)</f>
        <v>0</v>
      </c>
      <c r="O157" s="317">
        <f t="shared" si="30"/>
        <v>681161</v>
      </c>
      <c r="P157" s="59"/>
      <c r="Q157" s="59"/>
      <c r="R157" s="248"/>
      <c r="S157" s="455"/>
    </row>
    <row r="158" spans="1:19" ht="15">
      <c r="A158" s="168" t="s">
        <v>276</v>
      </c>
      <c r="B158" s="109" t="s">
        <v>158</v>
      </c>
      <c r="C158" s="468"/>
      <c r="D158" s="37"/>
      <c r="E158" s="37"/>
      <c r="F158" s="110"/>
      <c r="G158" s="128"/>
      <c r="H158" s="128"/>
      <c r="I158" s="115"/>
      <c r="J158" s="127"/>
      <c r="K158" s="127"/>
      <c r="L158" s="127"/>
      <c r="M158" s="127"/>
      <c r="N158" s="171"/>
      <c r="O158" s="317">
        <f t="shared" si="30"/>
        <v>0</v>
      </c>
      <c r="P158" s="59"/>
      <c r="Q158" s="59"/>
      <c r="R158" s="248"/>
      <c r="S158" s="455"/>
    </row>
    <row r="159" spans="1:19" ht="15">
      <c r="A159" s="168" t="s">
        <v>277</v>
      </c>
      <c r="B159" s="109" t="s">
        <v>335</v>
      </c>
      <c r="C159" s="110">
        <f>264278-362</f>
        <v>263916</v>
      </c>
      <c r="D159" s="37"/>
      <c r="E159" s="37"/>
      <c r="F159" s="110"/>
      <c r="G159" s="128"/>
      <c r="H159" s="128"/>
      <c r="I159" s="115"/>
      <c r="J159" s="127"/>
      <c r="K159" s="127"/>
      <c r="L159" s="127"/>
      <c r="M159" s="127"/>
      <c r="N159" s="171"/>
      <c r="O159" s="317">
        <f t="shared" si="30"/>
        <v>263916</v>
      </c>
      <c r="P159" s="59"/>
      <c r="Q159" s="59"/>
      <c r="R159" s="248"/>
      <c r="S159" s="455"/>
    </row>
    <row r="160" spans="1:19" ht="30">
      <c r="A160" s="168" t="s">
        <v>390</v>
      </c>
      <c r="B160" s="185" t="s">
        <v>595</v>
      </c>
      <c r="C160" s="286">
        <f>325021+87016</f>
        <v>412037</v>
      </c>
      <c r="D160" s="37"/>
      <c r="E160" s="37"/>
      <c r="F160" s="110"/>
      <c r="G160" s="128"/>
      <c r="H160" s="128"/>
      <c r="I160" s="115"/>
      <c r="J160" s="127"/>
      <c r="K160" s="127"/>
      <c r="L160" s="127"/>
      <c r="M160" s="127"/>
      <c r="N160" s="171"/>
      <c r="O160" s="317">
        <f t="shared" si="30"/>
        <v>412037</v>
      </c>
      <c r="P160" s="59"/>
      <c r="Q160" s="59"/>
      <c r="R160" s="248"/>
      <c r="S160" s="455"/>
    </row>
    <row r="161" spans="1:19" ht="15">
      <c r="A161" s="168" t="s">
        <v>596</v>
      </c>
      <c r="B161" s="185" t="s">
        <v>597</v>
      </c>
      <c r="C161" s="286"/>
      <c r="D161" s="110"/>
      <c r="E161" s="110"/>
      <c r="F161" s="110"/>
      <c r="G161" s="196"/>
      <c r="H161" s="196"/>
      <c r="I161" s="367"/>
      <c r="J161" s="130"/>
      <c r="K161" s="130"/>
      <c r="L161" s="130"/>
      <c r="M161" s="127">
        <v>5208</v>
      </c>
      <c r="N161" s="171"/>
      <c r="O161" s="317">
        <f t="shared" si="30"/>
        <v>5208</v>
      </c>
      <c r="P161" s="59"/>
      <c r="Q161" s="59"/>
      <c r="R161" s="248"/>
      <c r="S161" s="455"/>
    </row>
    <row r="162" spans="1:19" ht="15">
      <c r="A162" s="168" t="s">
        <v>112</v>
      </c>
      <c r="B162" s="109" t="s">
        <v>509</v>
      </c>
      <c r="C162" s="286">
        <f>SUM(C163:C167)</f>
        <v>482788</v>
      </c>
      <c r="D162" s="286">
        <f aca="true" t="shared" si="38" ref="D162:N162">SUM(D163:D167)</f>
        <v>0</v>
      </c>
      <c r="E162" s="286">
        <f t="shared" si="38"/>
        <v>1534309</v>
      </c>
      <c r="F162" s="286">
        <f t="shared" si="38"/>
        <v>0</v>
      </c>
      <c r="G162" s="286">
        <f>SUM(G163:G167)</f>
        <v>169751</v>
      </c>
      <c r="H162" s="286">
        <f t="shared" si="38"/>
        <v>62210</v>
      </c>
      <c r="I162" s="286">
        <f>SUM(I163:I167)</f>
        <v>91958</v>
      </c>
      <c r="J162" s="286">
        <f t="shared" si="38"/>
        <v>195280</v>
      </c>
      <c r="K162" s="286">
        <f t="shared" si="38"/>
        <v>24411</v>
      </c>
      <c r="L162" s="286">
        <f t="shared" si="38"/>
        <v>23054</v>
      </c>
      <c r="M162" s="286">
        <f t="shared" si="38"/>
        <v>55698</v>
      </c>
      <c r="N162" s="286">
        <f t="shared" si="38"/>
        <v>51206</v>
      </c>
      <c r="O162" s="317">
        <f t="shared" si="30"/>
        <v>2690665</v>
      </c>
      <c r="P162" s="59"/>
      <c r="Q162" s="59"/>
      <c r="R162" s="248"/>
      <c r="S162" s="455"/>
    </row>
    <row r="163" spans="1:19" ht="15">
      <c r="A163" s="168" t="s">
        <v>438</v>
      </c>
      <c r="B163" s="109" t="s">
        <v>510</v>
      </c>
      <c r="C163" s="286"/>
      <c r="D163" s="37"/>
      <c r="E163" s="37">
        <f>275437+5585</f>
        <v>281022</v>
      </c>
      <c r="F163" s="110"/>
      <c r="G163" s="221">
        <v>169751</v>
      </c>
      <c r="H163" s="115">
        <v>62210</v>
      </c>
      <c r="I163" s="115">
        <v>78214</v>
      </c>
      <c r="J163" s="127">
        <f>194418+862</f>
        <v>195280</v>
      </c>
      <c r="K163" s="127">
        <v>24411</v>
      </c>
      <c r="L163" s="127">
        <v>23054</v>
      </c>
      <c r="M163" s="127">
        <v>55698</v>
      </c>
      <c r="N163" s="169">
        <v>51206</v>
      </c>
      <c r="O163" s="317">
        <f t="shared" si="30"/>
        <v>940846</v>
      </c>
      <c r="P163" s="59"/>
      <c r="Q163" s="59"/>
      <c r="R163" s="248"/>
      <c r="S163" s="455"/>
    </row>
    <row r="164" spans="1:19" ht="15">
      <c r="A164" s="168" t="s">
        <v>439</v>
      </c>
      <c r="B164" s="109" t="s">
        <v>440</v>
      </c>
      <c r="C164" s="286">
        <v>303290</v>
      </c>
      <c r="D164" s="37"/>
      <c r="E164" s="37"/>
      <c r="F164" s="110"/>
      <c r="G164" s="128"/>
      <c r="H164" s="128"/>
      <c r="I164" s="128"/>
      <c r="J164" s="127"/>
      <c r="K164" s="127"/>
      <c r="L164" s="127"/>
      <c r="M164" s="127"/>
      <c r="N164" s="130"/>
      <c r="O164" s="317">
        <f t="shared" si="30"/>
        <v>303290</v>
      </c>
      <c r="P164" s="59"/>
      <c r="Q164" s="59"/>
      <c r="R164" s="248"/>
      <c r="S164" s="455"/>
    </row>
    <row r="165" spans="1:19" ht="15">
      <c r="A165" s="168" t="s">
        <v>598</v>
      </c>
      <c r="B165" s="109" t="s">
        <v>599</v>
      </c>
      <c r="C165" s="286"/>
      <c r="D165" s="37"/>
      <c r="E165" s="37"/>
      <c r="F165" s="110"/>
      <c r="G165" s="128"/>
      <c r="H165" s="128"/>
      <c r="I165" s="115">
        <v>13744</v>
      </c>
      <c r="J165" s="127"/>
      <c r="K165" s="127"/>
      <c r="L165" s="127"/>
      <c r="M165" s="127"/>
      <c r="N165" s="130"/>
      <c r="O165" s="317">
        <f t="shared" si="30"/>
        <v>13744</v>
      </c>
      <c r="P165" s="59"/>
      <c r="Q165" s="59"/>
      <c r="R165" s="248"/>
      <c r="S165" s="455"/>
    </row>
    <row r="166" spans="1:26" ht="15">
      <c r="A166" s="168" t="s">
        <v>508</v>
      </c>
      <c r="B166" s="109" t="s">
        <v>159</v>
      </c>
      <c r="C166" s="286"/>
      <c r="D166" s="37"/>
      <c r="E166" s="37">
        <f>1072079+32390+12420+13631</f>
        <v>1130520</v>
      </c>
      <c r="F166" s="110"/>
      <c r="G166" s="128"/>
      <c r="H166" s="128"/>
      <c r="I166" s="128"/>
      <c r="J166" s="127"/>
      <c r="K166" s="127"/>
      <c r="L166" s="127"/>
      <c r="M166" s="127"/>
      <c r="N166" s="130"/>
      <c r="O166" s="317">
        <f t="shared" si="30"/>
        <v>1130520</v>
      </c>
      <c r="P166" s="59"/>
      <c r="Q166" s="59"/>
      <c r="R166" s="248"/>
      <c r="S166" s="455"/>
      <c r="U166" s="94"/>
      <c r="V166" s="94"/>
      <c r="W166" s="94"/>
      <c r="X166" s="94"/>
      <c r="Y166" s="94"/>
      <c r="Z166" s="94"/>
    </row>
    <row r="167" spans="1:26" ht="15">
      <c r="A167" s="168" t="s">
        <v>600</v>
      </c>
      <c r="B167" s="109" t="s">
        <v>601</v>
      </c>
      <c r="C167" s="286">
        <f>300000-120502</f>
        <v>179498</v>
      </c>
      <c r="D167" s="37"/>
      <c r="E167" s="37">
        <f>120502+2265</f>
        <v>122767</v>
      </c>
      <c r="F167" s="110"/>
      <c r="G167" s="128"/>
      <c r="H167" s="128"/>
      <c r="I167" s="128"/>
      <c r="J167" s="127"/>
      <c r="K167" s="127"/>
      <c r="L167" s="127"/>
      <c r="M167" s="127"/>
      <c r="N167" s="130"/>
      <c r="O167" s="317">
        <f t="shared" si="30"/>
        <v>302265</v>
      </c>
      <c r="P167" s="59"/>
      <c r="Q167" s="59"/>
      <c r="R167" s="248"/>
      <c r="S167" s="455"/>
      <c r="U167" s="94"/>
      <c r="V167" s="94"/>
      <c r="W167" s="94"/>
      <c r="X167" s="94"/>
      <c r="Y167" s="94"/>
      <c r="Z167" s="94"/>
    </row>
    <row r="168" spans="1:26" s="94" customFormat="1" ht="15">
      <c r="A168" s="166" t="s">
        <v>113</v>
      </c>
      <c r="B168" s="139" t="s">
        <v>278</v>
      </c>
      <c r="C168" s="331">
        <f>SUM(C169:C185)</f>
        <v>1505282</v>
      </c>
      <c r="D168" s="331">
        <f aca="true" t="shared" si="39" ref="D168:M168">SUM(D169:D185)</f>
        <v>0</v>
      </c>
      <c r="E168" s="331">
        <f t="shared" si="39"/>
        <v>33796</v>
      </c>
      <c r="F168" s="331">
        <f t="shared" si="39"/>
        <v>0</v>
      </c>
      <c r="G168" s="331">
        <f t="shared" si="39"/>
        <v>11250</v>
      </c>
      <c r="H168" s="331">
        <f t="shared" si="39"/>
        <v>989</v>
      </c>
      <c r="I168" s="331">
        <f t="shared" si="39"/>
        <v>7770</v>
      </c>
      <c r="J168" s="331">
        <f t="shared" si="39"/>
        <v>2334</v>
      </c>
      <c r="K168" s="331">
        <f t="shared" si="39"/>
        <v>438</v>
      </c>
      <c r="L168" s="331">
        <f t="shared" si="39"/>
        <v>600</v>
      </c>
      <c r="M168" s="331">
        <f t="shared" si="39"/>
        <v>0</v>
      </c>
      <c r="N168" s="331">
        <f>SUM(N169:N185)</f>
        <v>8000</v>
      </c>
      <c r="O168" s="317">
        <f t="shared" si="30"/>
        <v>1570459</v>
      </c>
      <c r="P168" s="59"/>
      <c r="Q168" s="59"/>
      <c r="R168" s="248"/>
      <c r="S168" s="455"/>
      <c r="U168" s="91"/>
      <c r="V168" s="91"/>
      <c r="W168" s="91"/>
      <c r="X168" s="91"/>
      <c r="Y168" s="91"/>
      <c r="Z168" s="91"/>
    </row>
    <row r="169" spans="1:19" ht="15">
      <c r="A169" s="168" t="s">
        <v>279</v>
      </c>
      <c r="B169" s="185" t="s">
        <v>441</v>
      </c>
      <c r="C169" s="110">
        <f>37023+4150</f>
        <v>41173</v>
      </c>
      <c r="D169" s="37"/>
      <c r="E169" s="37"/>
      <c r="F169" s="110"/>
      <c r="G169" s="115"/>
      <c r="H169" s="128"/>
      <c r="I169" s="115"/>
      <c r="J169" s="127"/>
      <c r="K169" s="127"/>
      <c r="L169" s="127"/>
      <c r="M169" s="127"/>
      <c r="N169" s="130">
        <v>7500</v>
      </c>
      <c r="O169" s="317">
        <f t="shared" si="30"/>
        <v>48673</v>
      </c>
      <c r="P169" s="59"/>
      <c r="Q169" s="59"/>
      <c r="R169" s="248"/>
      <c r="S169" s="455"/>
    </row>
    <row r="170" spans="1:19" ht="15">
      <c r="A170" s="168" t="s">
        <v>280</v>
      </c>
      <c r="B170" s="185" t="s">
        <v>160</v>
      </c>
      <c r="C170" s="110">
        <f>49000+3950+25000</f>
        <v>77950</v>
      </c>
      <c r="D170" s="37"/>
      <c r="E170" s="37"/>
      <c r="F170" s="110"/>
      <c r="G170" s="128"/>
      <c r="H170" s="128"/>
      <c r="I170" s="128"/>
      <c r="J170" s="127"/>
      <c r="K170" s="127"/>
      <c r="L170" s="127"/>
      <c r="M170" s="127"/>
      <c r="N170" s="130"/>
      <c r="O170" s="317">
        <f t="shared" si="30"/>
        <v>77950</v>
      </c>
      <c r="P170" s="59"/>
      <c r="Q170" s="59"/>
      <c r="R170" s="248"/>
      <c r="S170" s="455"/>
    </row>
    <row r="171" spans="1:19" ht="15">
      <c r="A171" s="168" t="s">
        <v>281</v>
      </c>
      <c r="B171" s="190" t="s">
        <v>161</v>
      </c>
      <c r="C171" s="461">
        <v>500</v>
      </c>
      <c r="D171" s="37"/>
      <c r="E171" s="37"/>
      <c r="F171" s="110"/>
      <c r="G171" s="128"/>
      <c r="H171" s="128"/>
      <c r="I171" s="128"/>
      <c r="J171" s="127"/>
      <c r="K171" s="127"/>
      <c r="L171" s="127"/>
      <c r="M171" s="127"/>
      <c r="N171" s="130"/>
      <c r="O171" s="317">
        <f t="shared" si="30"/>
        <v>500</v>
      </c>
      <c r="P171" s="59"/>
      <c r="Q171" s="59"/>
      <c r="R171" s="248"/>
      <c r="S171" s="455"/>
    </row>
    <row r="172" spans="1:19" ht="15">
      <c r="A172" s="168" t="s">
        <v>602</v>
      </c>
      <c r="B172" s="190" t="s">
        <v>603</v>
      </c>
      <c r="C172" s="110">
        <f>177874-76967</f>
        <v>100907</v>
      </c>
      <c r="D172" s="37"/>
      <c r="E172" s="37">
        <f>33046</f>
        <v>33046</v>
      </c>
      <c r="F172" s="110"/>
      <c r="G172" s="128"/>
      <c r="H172" s="128"/>
      <c r="I172" s="128"/>
      <c r="J172" s="127"/>
      <c r="K172" s="127"/>
      <c r="L172" s="127"/>
      <c r="M172" s="127"/>
      <c r="N172" s="130"/>
      <c r="O172" s="317">
        <f t="shared" si="30"/>
        <v>133953</v>
      </c>
      <c r="P172" s="59"/>
      <c r="Q172" s="59"/>
      <c r="R172" s="248"/>
      <c r="S172" s="455"/>
    </row>
    <row r="173" spans="1:19" ht="46.5" customHeight="1">
      <c r="A173" s="168" t="s">
        <v>442</v>
      </c>
      <c r="B173" s="190" t="s">
        <v>443</v>
      </c>
      <c r="C173" s="286">
        <f>628489+163962</f>
        <v>792451</v>
      </c>
      <c r="D173" s="37"/>
      <c r="E173" s="37"/>
      <c r="F173" s="110"/>
      <c r="G173" s="128"/>
      <c r="H173" s="128"/>
      <c r="I173" s="128"/>
      <c r="J173" s="127"/>
      <c r="K173" s="127"/>
      <c r="L173" s="127"/>
      <c r="M173" s="127"/>
      <c r="N173" s="130"/>
      <c r="O173" s="317">
        <f t="shared" si="30"/>
        <v>792451</v>
      </c>
      <c r="P173" s="59"/>
      <c r="Q173" s="59"/>
      <c r="R173" s="248"/>
      <c r="S173" s="455"/>
    </row>
    <row r="174" spans="1:19" ht="30">
      <c r="A174" s="168" t="s">
        <v>444</v>
      </c>
      <c r="B174" s="190" t="s">
        <v>506</v>
      </c>
      <c r="C174" s="286"/>
      <c r="D174" s="37"/>
      <c r="E174" s="37"/>
      <c r="F174" s="110"/>
      <c r="G174" s="128"/>
      <c r="H174" s="128"/>
      <c r="I174" s="128"/>
      <c r="J174" s="127"/>
      <c r="K174" s="127"/>
      <c r="L174" s="127"/>
      <c r="M174" s="127"/>
      <c r="N174" s="130"/>
      <c r="O174" s="317">
        <f t="shared" si="30"/>
        <v>0</v>
      </c>
      <c r="P174" s="59"/>
      <c r="Q174" s="59"/>
      <c r="R174" s="248"/>
      <c r="S174" s="455"/>
    </row>
    <row r="175" spans="1:19" ht="30">
      <c r="A175" s="168" t="s">
        <v>484</v>
      </c>
      <c r="B175" s="185" t="s">
        <v>504</v>
      </c>
      <c r="C175" s="286">
        <f>20000-7381</f>
        <v>12619</v>
      </c>
      <c r="D175" s="37"/>
      <c r="E175" s="37">
        <v>750</v>
      </c>
      <c r="F175" s="110"/>
      <c r="G175" s="115"/>
      <c r="H175" s="115">
        <v>989</v>
      </c>
      <c r="I175" s="115">
        <v>1770</v>
      </c>
      <c r="J175" s="127">
        <v>2334</v>
      </c>
      <c r="K175" s="127">
        <v>438</v>
      </c>
      <c r="L175" s="127">
        <v>600</v>
      </c>
      <c r="M175" s="127"/>
      <c r="N175" s="130">
        <v>500</v>
      </c>
      <c r="O175" s="317">
        <f t="shared" si="30"/>
        <v>20000</v>
      </c>
      <c r="P175" s="59"/>
      <c r="Q175" s="59"/>
      <c r="R175" s="248"/>
      <c r="S175" s="455"/>
    </row>
    <row r="176" spans="1:19" ht="30">
      <c r="A176" s="168" t="s">
        <v>493</v>
      </c>
      <c r="B176" s="185" t="s">
        <v>505</v>
      </c>
      <c r="C176" s="286">
        <f>292700</f>
        <v>292700</v>
      </c>
      <c r="D176" s="37"/>
      <c r="E176" s="37"/>
      <c r="F176" s="110"/>
      <c r="G176" s="128"/>
      <c r="H176" s="128"/>
      <c r="I176" s="128"/>
      <c r="J176" s="127"/>
      <c r="K176" s="127"/>
      <c r="L176" s="127"/>
      <c r="M176" s="127"/>
      <c r="N176" s="130"/>
      <c r="O176" s="317">
        <f t="shared" si="30"/>
        <v>292700</v>
      </c>
      <c r="P176" s="59"/>
      <c r="Q176" s="59"/>
      <c r="R176" s="248"/>
      <c r="S176" s="455"/>
    </row>
    <row r="177" spans="1:19" ht="15">
      <c r="A177" s="168" t="s">
        <v>336</v>
      </c>
      <c r="B177" s="332" t="s">
        <v>445</v>
      </c>
      <c r="C177" s="286"/>
      <c r="D177" s="37"/>
      <c r="E177" s="37"/>
      <c r="F177" s="110"/>
      <c r="G177" s="128"/>
      <c r="H177" s="128"/>
      <c r="I177" s="115"/>
      <c r="J177" s="127"/>
      <c r="K177" s="127"/>
      <c r="L177" s="127"/>
      <c r="M177" s="127"/>
      <c r="N177" s="130"/>
      <c r="O177" s="317">
        <f t="shared" si="30"/>
        <v>0</v>
      </c>
      <c r="P177" s="59"/>
      <c r="Q177" s="59"/>
      <c r="R177" s="248"/>
      <c r="S177" s="455"/>
    </row>
    <row r="178" spans="1:19" ht="30">
      <c r="A178" s="168" t="s">
        <v>640</v>
      </c>
      <c r="B178" s="491" t="s">
        <v>645</v>
      </c>
      <c r="C178" s="286">
        <v>187</v>
      </c>
      <c r="D178" s="37"/>
      <c r="E178" s="37"/>
      <c r="F178" s="110"/>
      <c r="G178" s="128"/>
      <c r="H178" s="128"/>
      <c r="I178" s="115"/>
      <c r="J178" s="127"/>
      <c r="K178" s="127"/>
      <c r="L178" s="127"/>
      <c r="M178" s="127"/>
      <c r="N178" s="130"/>
      <c r="O178" s="317">
        <f t="shared" si="30"/>
        <v>187</v>
      </c>
      <c r="P178" s="59"/>
      <c r="Q178" s="59"/>
      <c r="R178" s="248"/>
      <c r="S178" s="455"/>
    </row>
    <row r="179" spans="1:19" ht="45">
      <c r="A179" s="168" t="s">
        <v>363</v>
      </c>
      <c r="B179" s="230" t="s">
        <v>479</v>
      </c>
      <c r="C179" s="286">
        <v>20000</v>
      </c>
      <c r="D179" s="37"/>
      <c r="E179" s="37"/>
      <c r="F179" s="110"/>
      <c r="G179" s="128"/>
      <c r="H179" s="128"/>
      <c r="I179" s="128"/>
      <c r="J179" s="127"/>
      <c r="K179" s="127"/>
      <c r="L179" s="127"/>
      <c r="M179" s="127"/>
      <c r="N179" s="130"/>
      <c r="O179" s="317">
        <f t="shared" si="30"/>
        <v>20000</v>
      </c>
      <c r="P179" s="59"/>
      <c r="Q179" s="59"/>
      <c r="R179" s="248"/>
      <c r="S179" s="455"/>
    </row>
    <row r="180" spans="1:19" ht="30">
      <c r="A180" s="168" t="s">
        <v>530</v>
      </c>
      <c r="B180" s="252" t="s">
        <v>532</v>
      </c>
      <c r="C180" s="286">
        <v>48580</v>
      </c>
      <c r="D180" s="110"/>
      <c r="E180" s="110"/>
      <c r="F180" s="110"/>
      <c r="G180" s="196"/>
      <c r="H180" s="196"/>
      <c r="I180" s="196"/>
      <c r="J180" s="130"/>
      <c r="K180" s="130"/>
      <c r="L180" s="130"/>
      <c r="M180" s="130"/>
      <c r="N180" s="130"/>
      <c r="O180" s="317">
        <f t="shared" si="30"/>
        <v>48580</v>
      </c>
      <c r="P180" s="59"/>
      <c r="Q180" s="59"/>
      <c r="R180" s="248"/>
      <c r="S180" s="455"/>
    </row>
    <row r="181" spans="1:19" ht="30">
      <c r="A181" s="168" t="s">
        <v>604</v>
      </c>
      <c r="B181" s="252" t="s">
        <v>605</v>
      </c>
      <c r="C181" s="286">
        <v>92876</v>
      </c>
      <c r="D181" s="110"/>
      <c r="E181" s="110"/>
      <c r="F181" s="110"/>
      <c r="G181" s="196"/>
      <c r="H181" s="196"/>
      <c r="I181" s="196"/>
      <c r="J181" s="130"/>
      <c r="K181" s="130"/>
      <c r="L181" s="130"/>
      <c r="M181" s="130"/>
      <c r="N181" s="130"/>
      <c r="O181" s="317">
        <f t="shared" si="30"/>
        <v>92876</v>
      </c>
      <c r="P181" s="59"/>
      <c r="Q181" s="59"/>
      <c r="R181" s="248"/>
      <c r="S181" s="455"/>
    </row>
    <row r="182" spans="1:19" ht="60.75" customHeight="1">
      <c r="A182" s="168" t="s">
        <v>606</v>
      </c>
      <c r="B182" s="252" t="s">
        <v>607</v>
      </c>
      <c r="C182" s="286">
        <f>47339-22000</f>
        <v>25339</v>
      </c>
      <c r="D182" s="110"/>
      <c r="E182" s="110"/>
      <c r="F182" s="110"/>
      <c r="G182" s="196"/>
      <c r="H182" s="196"/>
      <c r="I182" s="196"/>
      <c r="J182" s="130"/>
      <c r="K182" s="130"/>
      <c r="L182" s="130"/>
      <c r="M182" s="130"/>
      <c r="N182" s="130"/>
      <c r="O182" s="317">
        <f t="shared" si="30"/>
        <v>25339</v>
      </c>
      <c r="P182" s="59"/>
      <c r="Q182" s="59"/>
      <c r="R182" s="248"/>
      <c r="S182" s="455"/>
    </row>
    <row r="183" spans="1:19" ht="15">
      <c r="A183" s="168" t="s">
        <v>608</v>
      </c>
      <c r="B183" s="185" t="s">
        <v>609</v>
      </c>
      <c r="C183" s="286"/>
      <c r="D183" s="110"/>
      <c r="E183" s="110"/>
      <c r="F183" s="110"/>
      <c r="G183" s="196"/>
      <c r="H183" s="196"/>
      <c r="I183" s="367">
        <v>6000</v>
      </c>
      <c r="J183" s="130"/>
      <c r="K183" s="130"/>
      <c r="L183" s="130"/>
      <c r="M183" s="130"/>
      <c r="N183" s="130"/>
      <c r="O183" s="317">
        <f t="shared" si="30"/>
        <v>6000</v>
      </c>
      <c r="P183" s="59"/>
      <c r="Q183" s="59"/>
      <c r="R183" s="248"/>
      <c r="S183" s="455"/>
    </row>
    <row r="184" spans="1:19" ht="15">
      <c r="A184" s="168" t="s">
        <v>661</v>
      </c>
      <c r="B184" s="500" t="s">
        <v>662</v>
      </c>
      <c r="C184" s="286"/>
      <c r="D184" s="110"/>
      <c r="E184" s="110"/>
      <c r="F184" s="110"/>
      <c r="G184" s="367">
        <v>11250</v>
      </c>
      <c r="H184" s="196"/>
      <c r="I184" s="367"/>
      <c r="J184" s="130"/>
      <c r="K184" s="130"/>
      <c r="L184" s="130"/>
      <c r="M184" s="130"/>
      <c r="N184" s="130"/>
      <c r="O184" s="317">
        <f t="shared" si="30"/>
        <v>11250</v>
      </c>
      <c r="P184" s="59"/>
      <c r="Q184" s="59"/>
      <c r="R184" s="248"/>
      <c r="S184" s="455"/>
    </row>
    <row r="185" spans="1:19" ht="15">
      <c r="A185" s="168" t="s">
        <v>531</v>
      </c>
      <c r="B185" s="252" t="s">
        <v>533</v>
      </c>
      <c r="C185" s="286"/>
      <c r="D185" s="110"/>
      <c r="E185" s="110"/>
      <c r="F185" s="110"/>
      <c r="G185" s="196"/>
      <c r="H185" s="196"/>
      <c r="I185" s="196"/>
      <c r="J185" s="130"/>
      <c r="K185" s="130"/>
      <c r="L185" s="130"/>
      <c r="M185" s="130"/>
      <c r="N185" s="130"/>
      <c r="O185" s="317">
        <f t="shared" si="30"/>
        <v>0</v>
      </c>
      <c r="P185" s="59"/>
      <c r="Q185" s="59"/>
      <c r="R185" s="248"/>
      <c r="S185" s="455"/>
    </row>
    <row r="186" spans="1:19" ht="15">
      <c r="A186" s="166" t="s">
        <v>511</v>
      </c>
      <c r="B186" s="360" t="s">
        <v>512</v>
      </c>
      <c r="C186" s="316">
        <f>C187+C188</f>
        <v>151484</v>
      </c>
      <c r="D186" s="316">
        <f aca="true" t="shared" si="40" ref="D186:M186">D187+D188</f>
        <v>0</v>
      </c>
      <c r="E186" s="316">
        <f t="shared" si="40"/>
        <v>0</v>
      </c>
      <c r="F186" s="316">
        <f t="shared" si="40"/>
        <v>0</v>
      </c>
      <c r="G186" s="316">
        <f t="shared" si="40"/>
        <v>0</v>
      </c>
      <c r="H186" s="316">
        <f t="shared" si="40"/>
        <v>0</v>
      </c>
      <c r="I186" s="316">
        <f t="shared" si="40"/>
        <v>3130</v>
      </c>
      <c r="J186" s="316">
        <f t="shared" si="40"/>
        <v>3789</v>
      </c>
      <c r="K186" s="316">
        <f t="shared" si="40"/>
        <v>0</v>
      </c>
      <c r="L186" s="316">
        <f t="shared" si="40"/>
        <v>0</v>
      </c>
      <c r="M186" s="316">
        <f t="shared" si="40"/>
        <v>0</v>
      </c>
      <c r="N186" s="316">
        <f>N187+N188</f>
        <v>0</v>
      </c>
      <c r="O186" s="317">
        <f t="shared" si="30"/>
        <v>158403</v>
      </c>
      <c r="P186" s="59"/>
      <c r="Q186" s="59"/>
      <c r="R186" s="248"/>
      <c r="S186" s="455"/>
    </row>
    <row r="187" spans="1:19" ht="15">
      <c r="A187" s="166" t="s">
        <v>610</v>
      </c>
      <c r="B187" s="139" t="s">
        <v>114</v>
      </c>
      <c r="C187" s="167">
        <f>34987+5013</f>
        <v>40000</v>
      </c>
      <c r="D187" s="53"/>
      <c r="E187" s="53"/>
      <c r="F187" s="167"/>
      <c r="G187" s="128"/>
      <c r="H187" s="128"/>
      <c r="I187" s="128"/>
      <c r="J187" s="127"/>
      <c r="K187" s="127"/>
      <c r="L187" s="127"/>
      <c r="M187" s="127"/>
      <c r="N187" s="130"/>
      <c r="O187" s="317">
        <f aca="true" t="shared" si="41" ref="O187:O253">SUM(C187:N187)</f>
        <v>40000</v>
      </c>
      <c r="P187" s="59"/>
      <c r="Q187" s="59"/>
      <c r="R187" s="248"/>
      <c r="S187" s="455"/>
    </row>
    <row r="188" spans="1:19" ht="21" customHeight="1">
      <c r="A188" s="166" t="s">
        <v>611</v>
      </c>
      <c r="B188" s="139" t="s">
        <v>115</v>
      </c>
      <c r="C188" s="167">
        <f>91484+20000</f>
        <v>111484</v>
      </c>
      <c r="D188" s="53"/>
      <c r="E188" s="53"/>
      <c r="F188" s="167"/>
      <c r="G188" s="128"/>
      <c r="H188" s="128"/>
      <c r="I188" s="115">
        <v>3130</v>
      </c>
      <c r="J188" s="127">
        <v>3789</v>
      </c>
      <c r="K188" s="127"/>
      <c r="L188" s="127"/>
      <c r="M188" s="127"/>
      <c r="N188" s="130"/>
      <c r="O188" s="317">
        <f t="shared" si="41"/>
        <v>118403</v>
      </c>
      <c r="P188" s="59"/>
      <c r="Q188" s="59"/>
      <c r="R188" s="248"/>
      <c r="S188" s="455"/>
    </row>
    <row r="189" spans="1:19" ht="30" thickBot="1">
      <c r="A189" s="352" t="s">
        <v>612</v>
      </c>
      <c r="B189" s="333" t="s">
        <v>446</v>
      </c>
      <c r="C189" s="287">
        <f>15000+5664</f>
        <v>20664</v>
      </c>
      <c r="D189" s="288"/>
      <c r="E189" s="288"/>
      <c r="F189" s="287"/>
      <c r="G189" s="180"/>
      <c r="H189" s="180"/>
      <c r="I189" s="226"/>
      <c r="J189" s="181"/>
      <c r="K189" s="181"/>
      <c r="L189" s="181"/>
      <c r="M189" s="181"/>
      <c r="N189" s="191"/>
      <c r="O189" s="317">
        <f t="shared" si="41"/>
        <v>20664</v>
      </c>
      <c r="P189" s="59"/>
      <c r="Q189" s="59"/>
      <c r="R189" s="248"/>
      <c r="S189" s="455"/>
    </row>
    <row r="190" spans="1:19" ht="15.75" thickBot="1">
      <c r="A190" s="193" t="s">
        <v>116</v>
      </c>
      <c r="B190" s="186" t="s">
        <v>7</v>
      </c>
      <c r="C190" s="334">
        <f>C191+C203+C204+C214+C221+C224+C225</f>
        <v>17351661</v>
      </c>
      <c r="D190" s="103">
        <f aca="true" t="shared" si="42" ref="D190:N190">D191+D203+D204+D214+D221+D224+D225</f>
        <v>0</v>
      </c>
      <c r="E190" s="103">
        <f t="shared" si="42"/>
        <v>0</v>
      </c>
      <c r="F190" s="103">
        <f t="shared" si="42"/>
        <v>0</v>
      </c>
      <c r="G190" s="103">
        <f t="shared" si="42"/>
        <v>1685300</v>
      </c>
      <c r="H190" s="103">
        <f t="shared" si="42"/>
        <v>0</v>
      </c>
      <c r="I190" s="103">
        <f t="shared" si="42"/>
        <v>467285</v>
      </c>
      <c r="J190" s="103">
        <f t="shared" si="42"/>
        <v>1306559</v>
      </c>
      <c r="K190" s="103">
        <f t="shared" si="42"/>
        <v>26924</v>
      </c>
      <c r="L190" s="103">
        <f t="shared" si="42"/>
        <v>44233</v>
      </c>
      <c r="M190" s="103">
        <f t="shared" si="42"/>
        <v>23638</v>
      </c>
      <c r="N190" s="103">
        <f t="shared" si="42"/>
        <v>606409</v>
      </c>
      <c r="O190" s="302">
        <f t="shared" si="41"/>
        <v>21512009</v>
      </c>
      <c r="P190" s="59"/>
      <c r="Q190" s="59"/>
      <c r="R190" s="248"/>
      <c r="S190" s="455"/>
    </row>
    <row r="191" spans="1:19" ht="15">
      <c r="A191" s="162" t="s">
        <v>117</v>
      </c>
      <c r="B191" s="163" t="s">
        <v>282</v>
      </c>
      <c r="C191" s="314">
        <f>SUM(C192:C202)</f>
        <v>4595936</v>
      </c>
      <c r="D191" s="314">
        <f aca="true" t="shared" si="43" ref="D191:N191">SUM(D192:D202)</f>
        <v>0</v>
      </c>
      <c r="E191" s="314">
        <f t="shared" si="43"/>
        <v>0</v>
      </c>
      <c r="F191" s="314">
        <f t="shared" si="43"/>
        <v>0</v>
      </c>
      <c r="G191" s="314">
        <f t="shared" si="43"/>
        <v>0</v>
      </c>
      <c r="H191" s="314">
        <f t="shared" si="43"/>
        <v>0</v>
      </c>
      <c r="I191" s="314">
        <f>SUM(I192:I202)</f>
        <v>77743</v>
      </c>
      <c r="J191" s="314">
        <f t="shared" si="43"/>
        <v>338711</v>
      </c>
      <c r="K191" s="314">
        <f t="shared" si="43"/>
        <v>0</v>
      </c>
      <c r="L191" s="314">
        <f t="shared" si="43"/>
        <v>0</v>
      </c>
      <c r="M191" s="314">
        <f t="shared" si="43"/>
        <v>0</v>
      </c>
      <c r="N191" s="314">
        <f t="shared" si="43"/>
        <v>0</v>
      </c>
      <c r="O191" s="325">
        <f t="shared" si="41"/>
        <v>5012390</v>
      </c>
      <c r="P191" s="59"/>
      <c r="Q191" s="59"/>
      <c r="R191" s="248"/>
      <c r="S191" s="455"/>
    </row>
    <row r="192" spans="1:19" ht="15.75" customHeight="1">
      <c r="A192" s="168" t="s">
        <v>283</v>
      </c>
      <c r="B192" s="194" t="s">
        <v>118</v>
      </c>
      <c r="C192" s="232">
        <f>293569-2514-111742</f>
        <v>179313</v>
      </c>
      <c r="D192" s="37"/>
      <c r="E192" s="37"/>
      <c r="F192" s="110"/>
      <c r="G192" s="128"/>
      <c r="H192" s="128"/>
      <c r="I192" s="128"/>
      <c r="J192" s="127"/>
      <c r="K192" s="127"/>
      <c r="L192" s="127"/>
      <c r="M192" s="127"/>
      <c r="N192" s="130"/>
      <c r="O192" s="317">
        <f t="shared" si="41"/>
        <v>179313</v>
      </c>
      <c r="P192" s="59"/>
      <c r="Q192" s="59"/>
      <c r="R192" s="248"/>
      <c r="S192" s="455"/>
    </row>
    <row r="193" spans="1:19" ht="15">
      <c r="A193" s="168" t="s">
        <v>284</v>
      </c>
      <c r="B193" s="194" t="s">
        <v>119</v>
      </c>
      <c r="C193" s="286">
        <f>573919+111558+2514+46658</f>
        <v>734649</v>
      </c>
      <c r="D193" s="37"/>
      <c r="E193" s="37"/>
      <c r="F193" s="110"/>
      <c r="G193" s="128"/>
      <c r="H193" s="128"/>
      <c r="I193" s="128"/>
      <c r="J193" s="127"/>
      <c r="K193" s="127"/>
      <c r="L193" s="127"/>
      <c r="M193" s="127"/>
      <c r="N193" s="130"/>
      <c r="O193" s="317">
        <f t="shared" si="41"/>
        <v>734649</v>
      </c>
      <c r="P193" s="59"/>
      <c r="Q193" s="59"/>
      <c r="R193" s="248"/>
      <c r="S193" s="455"/>
    </row>
    <row r="194" spans="1:19" ht="15">
      <c r="A194" s="168" t="s">
        <v>285</v>
      </c>
      <c r="B194" s="194" t="s">
        <v>120</v>
      </c>
      <c r="C194" s="286">
        <f>590465+31215</f>
        <v>621680</v>
      </c>
      <c r="D194" s="37"/>
      <c r="E194" s="37"/>
      <c r="F194" s="110"/>
      <c r="G194" s="128"/>
      <c r="H194" s="128"/>
      <c r="I194" s="128"/>
      <c r="J194" s="127"/>
      <c r="K194" s="127"/>
      <c r="L194" s="127"/>
      <c r="M194" s="127"/>
      <c r="N194" s="130"/>
      <c r="O194" s="317">
        <f t="shared" si="41"/>
        <v>621680</v>
      </c>
      <c r="P194" s="59"/>
      <c r="Q194" s="59"/>
      <c r="R194" s="248"/>
      <c r="S194" s="455"/>
    </row>
    <row r="195" spans="1:19" ht="15">
      <c r="A195" s="168" t="s">
        <v>286</v>
      </c>
      <c r="B195" s="194" t="s">
        <v>121</v>
      </c>
      <c r="C195" s="286">
        <f>614373+8575+38954</f>
        <v>661902</v>
      </c>
      <c r="D195" s="37"/>
      <c r="E195" s="37"/>
      <c r="F195" s="110"/>
      <c r="G195" s="128"/>
      <c r="H195" s="128"/>
      <c r="I195" s="128"/>
      <c r="J195" s="127"/>
      <c r="K195" s="127"/>
      <c r="L195" s="127"/>
      <c r="M195" s="127"/>
      <c r="N195" s="130"/>
      <c r="O195" s="317">
        <f t="shared" si="41"/>
        <v>661902</v>
      </c>
      <c r="P195" s="59"/>
      <c r="Q195" s="59"/>
      <c r="R195" s="248"/>
      <c r="S195" s="455"/>
    </row>
    <row r="196" spans="1:19" ht="15">
      <c r="A196" s="168" t="s">
        <v>287</v>
      </c>
      <c r="B196" s="194" t="s">
        <v>122</v>
      </c>
      <c r="C196" s="286">
        <f>698884-676+31037</f>
        <v>729245</v>
      </c>
      <c r="D196" s="37"/>
      <c r="E196" s="37"/>
      <c r="F196" s="110"/>
      <c r="G196" s="128"/>
      <c r="H196" s="128"/>
      <c r="I196" s="115"/>
      <c r="J196" s="127"/>
      <c r="K196" s="127"/>
      <c r="L196" s="127"/>
      <c r="M196" s="127"/>
      <c r="N196" s="130"/>
      <c r="O196" s="317">
        <f t="shared" si="41"/>
        <v>729245</v>
      </c>
      <c r="P196" s="59"/>
      <c r="Q196" s="59"/>
      <c r="R196" s="248"/>
      <c r="S196" s="455"/>
    </row>
    <row r="197" spans="1:19" ht="15">
      <c r="A197" s="168" t="s">
        <v>288</v>
      </c>
      <c r="B197" s="194" t="s">
        <v>123</v>
      </c>
      <c r="C197" s="461">
        <f>378148+6750+10247</f>
        <v>395145</v>
      </c>
      <c r="D197" s="37"/>
      <c r="E197" s="37"/>
      <c r="F197" s="110"/>
      <c r="G197" s="128"/>
      <c r="H197" s="128"/>
      <c r="I197" s="128"/>
      <c r="J197" s="127"/>
      <c r="K197" s="127"/>
      <c r="L197" s="127"/>
      <c r="M197" s="127"/>
      <c r="N197" s="130"/>
      <c r="O197" s="317">
        <f t="shared" si="41"/>
        <v>395145</v>
      </c>
      <c r="P197" s="59"/>
      <c r="Q197" s="59"/>
      <c r="R197" s="248"/>
      <c r="S197" s="455"/>
    </row>
    <row r="198" spans="1:19" ht="15">
      <c r="A198" s="168" t="s">
        <v>289</v>
      </c>
      <c r="B198" s="194" t="s">
        <v>162</v>
      </c>
      <c r="C198" s="286">
        <f>548497+143876-816+30921</f>
        <v>722478</v>
      </c>
      <c r="D198" s="37"/>
      <c r="E198" s="37"/>
      <c r="F198" s="110"/>
      <c r="G198" s="128"/>
      <c r="H198" s="128"/>
      <c r="I198" s="128"/>
      <c r="J198" s="127"/>
      <c r="K198" s="127"/>
      <c r="L198" s="127"/>
      <c r="M198" s="127"/>
      <c r="N198" s="130"/>
      <c r="O198" s="317">
        <f t="shared" si="41"/>
        <v>722478</v>
      </c>
      <c r="P198" s="59"/>
      <c r="Q198" s="59"/>
      <c r="R198" s="248"/>
      <c r="S198" s="455"/>
    </row>
    <row r="199" spans="1:19" ht="15">
      <c r="A199" s="168" t="s">
        <v>290</v>
      </c>
      <c r="B199" s="194" t="s">
        <v>182</v>
      </c>
      <c r="C199" s="286">
        <f>385037+21087</f>
        <v>406124</v>
      </c>
      <c r="D199" s="110"/>
      <c r="E199" s="110"/>
      <c r="F199" s="110"/>
      <c r="G199" s="128"/>
      <c r="H199" s="128"/>
      <c r="I199" s="115"/>
      <c r="J199" s="130"/>
      <c r="K199" s="130"/>
      <c r="L199" s="130"/>
      <c r="M199" s="130"/>
      <c r="N199" s="130"/>
      <c r="O199" s="317">
        <f t="shared" si="41"/>
        <v>406124</v>
      </c>
      <c r="P199" s="59"/>
      <c r="Q199" s="59"/>
      <c r="R199" s="248"/>
      <c r="S199" s="455"/>
    </row>
    <row r="200" spans="1:19" ht="15">
      <c r="A200" s="168" t="s">
        <v>291</v>
      </c>
      <c r="B200" s="194" t="s">
        <v>183</v>
      </c>
      <c r="C200" s="286"/>
      <c r="D200" s="110"/>
      <c r="E200" s="110"/>
      <c r="F200" s="110"/>
      <c r="G200" s="128"/>
      <c r="H200" s="128"/>
      <c r="I200" s="128"/>
      <c r="J200" s="127">
        <v>338711</v>
      </c>
      <c r="K200" s="130"/>
      <c r="L200" s="130"/>
      <c r="M200" s="130"/>
      <c r="N200" s="130"/>
      <c r="O200" s="317">
        <f t="shared" si="41"/>
        <v>338711</v>
      </c>
      <c r="P200" s="59"/>
      <c r="Q200" s="59"/>
      <c r="R200" s="248"/>
      <c r="S200" s="455"/>
    </row>
    <row r="201" spans="1:19" ht="30">
      <c r="A201" s="168" t="s">
        <v>292</v>
      </c>
      <c r="B201" s="194" t="s">
        <v>494</v>
      </c>
      <c r="C201" s="286">
        <f>140400+5000</f>
        <v>145400</v>
      </c>
      <c r="D201" s="110"/>
      <c r="E201" s="110"/>
      <c r="F201" s="110"/>
      <c r="G201" s="128"/>
      <c r="H201" s="128"/>
      <c r="I201" s="128"/>
      <c r="J201" s="130"/>
      <c r="K201" s="130"/>
      <c r="L201" s="130"/>
      <c r="M201" s="130"/>
      <c r="N201" s="192"/>
      <c r="O201" s="317">
        <f t="shared" si="41"/>
        <v>145400</v>
      </c>
      <c r="P201" s="59"/>
      <c r="Q201" s="59"/>
      <c r="R201" s="248"/>
      <c r="S201" s="455"/>
    </row>
    <row r="202" spans="1:19" ht="15">
      <c r="A202" s="168" t="s">
        <v>526</v>
      </c>
      <c r="B202" s="194" t="s">
        <v>122</v>
      </c>
      <c r="C202" s="286"/>
      <c r="D202" s="110"/>
      <c r="E202" s="110"/>
      <c r="F202" s="110"/>
      <c r="G202" s="128"/>
      <c r="H202" s="196"/>
      <c r="I202" s="367">
        <f>129333-51590</f>
        <v>77743</v>
      </c>
      <c r="J202" s="130"/>
      <c r="K202" s="130"/>
      <c r="L202" s="130"/>
      <c r="M202" s="130"/>
      <c r="N202" s="130"/>
      <c r="O202" s="317">
        <f t="shared" si="41"/>
        <v>77743</v>
      </c>
      <c r="P202" s="59"/>
      <c r="Q202" s="59"/>
      <c r="R202" s="248"/>
      <c r="S202" s="455"/>
    </row>
    <row r="203" spans="1:19" ht="15">
      <c r="A203" s="166" t="s">
        <v>125</v>
      </c>
      <c r="B203" s="195" t="s">
        <v>293</v>
      </c>
      <c r="C203" s="286">
        <f>1048891+6893+304668</f>
        <v>1360452</v>
      </c>
      <c r="D203" s="110"/>
      <c r="E203" s="110"/>
      <c r="F203" s="110"/>
      <c r="G203" s="221"/>
      <c r="H203" s="196"/>
      <c r="I203" s="196"/>
      <c r="J203" s="130"/>
      <c r="K203" s="130"/>
      <c r="L203" s="130"/>
      <c r="M203" s="130"/>
      <c r="N203" s="130"/>
      <c r="O203" s="317">
        <f t="shared" si="41"/>
        <v>1360452</v>
      </c>
      <c r="P203" s="59"/>
      <c r="Q203" s="59"/>
      <c r="R203" s="248"/>
      <c r="S203" s="455"/>
    </row>
    <row r="204" spans="1:19" ht="29.25">
      <c r="A204" s="166" t="s">
        <v>186</v>
      </c>
      <c r="B204" s="139" t="s">
        <v>294</v>
      </c>
      <c r="C204" s="316">
        <f>SUM(C205:C213)</f>
        <v>5337855</v>
      </c>
      <c r="D204" s="167">
        <f aca="true" t="shared" si="44" ref="D204:N204">SUM(D205:D213)</f>
        <v>0</v>
      </c>
      <c r="E204" s="167">
        <f t="shared" si="44"/>
        <v>0</v>
      </c>
      <c r="F204" s="167">
        <f t="shared" si="44"/>
        <v>0</v>
      </c>
      <c r="G204" s="53">
        <f t="shared" si="44"/>
        <v>1661537</v>
      </c>
      <c r="H204" s="167">
        <f t="shared" si="44"/>
        <v>0</v>
      </c>
      <c r="I204" s="167">
        <f t="shared" si="44"/>
        <v>368476</v>
      </c>
      <c r="J204" s="167">
        <f t="shared" si="44"/>
        <v>655965</v>
      </c>
      <c r="K204" s="167">
        <f t="shared" si="44"/>
        <v>0</v>
      </c>
      <c r="L204" s="167">
        <f t="shared" si="44"/>
        <v>21586</v>
      </c>
      <c r="M204" s="167">
        <f t="shared" si="44"/>
        <v>8750</v>
      </c>
      <c r="N204" s="167">
        <f t="shared" si="44"/>
        <v>591041</v>
      </c>
      <c r="O204" s="317">
        <f t="shared" si="41"/>
        <v>8645210</v>
      </c>
      <c r="P204" s="59"/>
      <c r="Q204" s="59"/>
      <c r="R204" s="248"/>
      <c r="S204" s="455"/>
    </row>
    <row r="205" spans="1:19" ht="15">
      <c r="A205" s="168" t="s">
        <v>295</v>
      </c>
      <c r="B205" s="194" t="s">
        <v>126</v>
      </c>
      <c r="C205" s="286">
        <f>1825124+26271+2530+607508</f>
        <v>2461433</v>
      </c>
      <c r="D205" s="37"/>
      <c r="E205" s="37"/>
      <c r="F205" s="110"/>
      <c r="G205" s="128"/>
      <c r="H205" s="128"/>
      <c r="I205" s="128"/>
      <c r="J205" s="127"/>
      <c r="K205" s="127"/>
      <c r="L205" s="127"/>
      <c r="M205" s="127"/>
      <c r="N205" s="130"/>
      <c r="O205" s="317">
        <f t="shared" si="41"/>
        <v>2461433</v>
      </c>
      <c r="P205" s="59"/>
      <c r="Q205" s="59"/>
      <c r="R205" s="248"/>
      <c r="S205" s="455"/>
    </row>
    <row r="206" spans="1:19" ht="15">
      <c r="A206" s="168" t="s">
        <v>296</v>
      </c>
      <c r="B206" s="194" t="s">
        <v>297</v>
      </c>
      <c r="C206" s="286">
        <f>852395+265280</f>
        <v>1117675</v>
      </c>
      <c r="D206" s="37"/>
      <c r="E206" s="37"/>
      <c r="F206" s="110"/>
      <c r="G206" s="128"/>
      <c r="H206" s="128"/>
      <c r="I206" s="128"/>
      <c r="J206" s="127"/>
      <c r="K206" s="127"/>
      <c r="L206" s="127"/>
      <c r="M206" s="127"/>
      <c r="N206" s="130"/>
      <c r="O206" s="317">
        <f t="shared" si="41"/>
        <v>1117675</v>
      </c>
      <c r="P206" s="59"/>
      <c r="Q206" s="59"/>
      <c r="R206" s="248"/>
      <c r="S206" s="455"/>
    </row>
    <row r="207" spans="1:19" ht="15">
      <c r="A207" s="168" t="s">
        <v>298</v>
      </c>
      <c r="B207" s="194" t="s">
        <v>127</v>
      </c>
      <c r="C207" s="286">
        <f>996492+22925-101+3570+268748</f>
        <v>1291634</v>
      </c>
      <c r="D207" s="37"/>
      <c r="E207" s="37"/>
      <c r="F207" s="110"/>
      <c r="G207" s="128"/>
      <c r="H207" s="128"/>
      <c r="I207" s="128"/>
      <c r="J207" s="127"/>
      <c r="K207" s="127"/>
      <c r="L207" s="127"/>
      <c r="M207" s="127"/>
      <c r="N207" s="130"/>
      <c r="O207" s="317">
        <f t="shared" si="41"/>
        <v>1291634</v>
      </c>
      <c r="P207" s="59"/>
      <c r="Q207" s="59"/>
      <c r="R207" s="248"/>
      <c r="S207" s="455"/>
    </row>
    <row r="208" spans="1:19" ht="15">
      <c r="A208" s="168" t="s">
        <v>299</v>
      </c>
      <c r="B208" s="109" t="s">
        <v>128</v>
      </c>
      <c r="C208" s="286">
        <f>383301+4000+79812</f>
        <v>467113</v>
      </c>
      <c r="D208" s="37"/>
      <c r="E208" s="37"/>
      <c r="F208" s="110"/>
      <c r="G208" s="128"/>
      <c r="H208" s="128"/>
      <c r="I208" s="128"/>
      <c r="J208" s="127"/>
      <c r="K208" s="127"/>
      <c r="L208" s="127"/>
      <c r="M208" s="127"/>
      <c r="N208" s="130"/>
      <c r="O208" s="317">
        <f t="shared" si="41"/>
        <v>467113</v>
      </c>
      <c r="P208" s="59"/>
      <c r="Q208" s="59"/>
      <c r="R208" s="248"/>
      <c r="S208" s="455"/>
    </row>
    <row r="209" spans="1:19" ht="15">
      <c r="A209" s="168" t="s">
        <v>300</v>
      </c>
      <c r="B209" s="109" t="s">
        <v>184</v>
      </c>
      <c r="C209" s="286"/>
      <c r="D209" s="37"/>
      <c r="E209" s="37"/>
      <c r="F209" s="110"/>
      <c r="G209" s="128"/>
      <c r="H209" s="128"/>
      <c r="I209" s="115">
        <v>368476</v>
      </c>
      <c r="J209" s="130"/>
      <c r="K209" s="130"/>
      <c r="L209" s="130"/>
      <c r="M209" s="130"/>
      <c r="N209" s="130"/>
      <c r="O209" s="317">
        <f t="shared" si="41"/>
        <v>368476</v>
      </c>
      <c r="P209" s="59"/>
      <c r="Q209" s="59"/>
      <c r="R209" s="248"/>
      <c r="S209" s="455"/>
    </row>
    <row r="210" spans="1:19" ht="15">
      <c r="A210" s="168" t="s">
        <v>301</v>
      </c>
      <c r="B210" s="109" t="s">
        <v>185</v>
      </c>
      <c r="C210" s="286"/>
      <c r="D210" s="37"/>
      <c r="E210" s="37"/>
      <c r="F210" s="110"/>
      <c r="G210" s="128"/>
      <c r="H210" s="128"/>
      <c r="I210" s="115"/>
      <c r="J210" s="127">
        <v>655965</v>
      </c>
      <c r="K210" s="130"/>
      <c r="L210" s="130"/>
      <c r="M210" s="130"/>
      <c r="N210" s="130"/>
      <c r="O210" s="317">
        <f t="shared" si="41"/>
        <v>655965</v>
      </c>
      <c r="P210" s="59"/>
      <c r="Q210" s="59"/>
      <c r="R210" s="248"/>
      <c r="S210" s="455"/>
    </row>
    <row r="211" spans="1:19" ht="15">
      <c r="A211" s="168" t="s">
        <v>302</v>
      </c>
      <c r="B211" s="109" t="s">
        <v>348</v>
      </c>
      <c r="C211" s="286"/>
      <c r="D211" s="37"/>
      <c r="E211" s="37"/>
      <c r="F211" s="110"/>
      <c r="G211" s="128"/>
      <c r="H211" s="128"/>
      <c r="I211" s="115"/>
      <c r="J211" s="130"/>
      <c r="K211" s="130"/>
      <c r="L211" s="130">
        <v>21586</v>
      </c>
      <c r="M211" s="130">
        <v>8750</v>
      </c>
      <c r="N211" s="127">
        <v>591041</v>
      </c>
      <c r="O211" s="317">
        <f t="shared" si="41"/>
        <v>621377</v>
      </c>
      <c r="P211" s="59"/>
      <c r="Q211" s="59"/>
      <c r="R211" s="248"/>
      <c r="S211" s="455"/>
    </row>
    <row r="212" spans="1:19" ht="15">
      <c r="A212" s="168" t="s">
        <v>303</v>
      </c>
      <c r="B212" s="109" t="s">
        <v>187</v>
      </c>
      <c r="C212" s="286"/>
      <c r="D212" s="37"/>
      <c r="E212" s="37"/>
      <c r="F212" s="110"/>
      <c r="G212" s="529">
        <f>1078126+6000</f>
        <v>1084126</v>
      </c>
      <c r="H212" s="128"/>
      <c r="I212" s="115"/>
      <c r="J212" s="130"/>
      <c r="K212" s="130"/>
      <c r="L212" s="130"/>
      <c r="M212" s="130"/>
      <c r="N212" s="130"/>
      <c r="O212" s="317">
        <f t="shared" si="41"/>
        <v>1084126</v>
      </c>
      <c r="P212" s="59"/>
      <c r="Q212" s="59"/>
      <c r="R212" s="248"/>
      <c r="S212" s="455"/>
    </row>
    <row r="213" spans="1:19" ht="15">
      <c r="A213" s="168" t="s">
        <v>304</v>
      </c>
      <c r="B213" s="109" t="s">
        <v>188</v>
      </c>
      <c r="C213" s="286"/>
      <c r="D213" s="110"/>
      <c r="E213" s="110"/>
      <c r="F213" s="110"/>
      <c r="G213" s="221">
        <v>577411</v>
      </c>
      <c r="H213" s="115"/>
      <c r="I213" s="115"/>
      <c r="J213" s="130"/>
      <c r="K213" s="130"/>
      <c r="L213" s="130"/>
      <c r="M213" s="130"/>
      <c r="N213" s="130"/>
      <c r="O213" s="317">
        <f t="shared" si="41"/>
        <v>577411</v>
      </c>
      <c r="P213" s="59"/>
      <c r="Q213" s="59"/>
      <c r="R213" s="248"/>
      <c r="S213" s="455"/>
    </row>
    <row r="214" spans="1:19" ht="15" customHeight="1">
      <c r="A214" s="166" t="s">
        <v>129</v>
      </c>
      <c r="B214" s="139" t="s">
        <v>130</v>
      </c>
      <c r="C214" s="316">
        <f>SUM(C215:C220)</f>
        <v>2505437</v>
      </c>
      <c r="D214" s="167">
        <f aca="true" t="shared" si="45" ref="D214:N214">SUM(D215:D220)</f>
        <v>0</v>
      </c>
      <c r="E214" s="167">
        <f t="shared" si="45"/>
        <v>0</v>
      </c>
      <c r="F214" s="167">
        <f t="shared" si="45"/>
        <v>0</v>
      </c>
      <c r="G214" s="53">
        <f t="shared" si="45"/>
        <v>0</v>
      </c>
      <c r="H214" s="167">
        <f t="shared" si="45"/>
        <v>0</v>
      </c>
      <c r="I214" s="167">
        <f t="shared" si="45"/>
        <v>0</v>
      </c>
      <c r="J214" s="167">
        <f t="shared" si="45"/>
        <v>181596</v>
      </c>
      <c r="K214" s="167">
        <f t="shared" si="45"/>
        <v>0</v>
      </c>
      <c r="L214" s="167">
        <f t="shared" si="45"/>
        <v>0</v>
      </c>
      <c r="M214" s="167">
        <f t="shared" si="45"/>
        <v>0</v>
      </c>
      <c r="N214" s="167">
        <f t="shared" si="45"/>
        <v>0</v>
      </c>
      <c r="O214" s="317">
        <f t="shared" si="41"/>
        <v>2687033</v>
      </c>
      <c r="P214" s="59"/>
      <c r="Q214" s="59"/>
      <c r="R214" s="248"/>
      <c r="S214" s="455"/>
    </row>
    <row r="215" spans="1:19" ht="15">
      <c r="A215" s="168" t="s">
        <v>305</v>
      </c>
      <c r="B215" s="109" t="s">
        <v>16</v>
      </c>
      <c r="C215" s="110">
        <f>755791+27186+172+1887+15869</f>
        <v>800905</v>
      </c>
      <c r="D215" s="37"/>
      <c r="E215" s="37"/>
      <c r="F215" s="110"/>
      <c r="G215" s="128"/>
      <c r="H215" s="128"/>
      <c r="I215" s="128"/>
      <c r="J215" s="127"/>
      <c r="K215" s="127"/>
      <c r="L215" s="127"/>
      <c r="M215" s="127"/>
      <c r="N215" s="130"/>
      <c r="O215" s="317">
        <f t="shared" si="41"/>
        <v>800905</v>
      </c>
      <c r="P215" s="59"/>
      <c r="Q215" s="59"/>
      <c r="R215" s="248"/>
      <c r="S215" s="455"/>
    </row>
    <row r="216" spans="1:19" ht="15">
      <c r="A216" s="168" t="s">
        <v>306</v>
      </c>
      <c r="B216" s="109" t="s">
        <v>150</v>
      </c>
      <c r="C216" s="110">
        <f>306047+85+7000+951</f>
        <v>314083</v>
      </c>
      <c r="D216" s="37"/>
      <c r="E216" s="37"/>
      <c r="F216" s="110"/>
      <c r="G216" s="128"/>
      <c r="H216" s="128"/>
      <c r="I216" s="128"/>
      <c r="J216" s="127"/>
      <c r="K216" s="127"/>
      <c r="L216" s="127"/>
      <c r="M216" s="127"/>
      <c r="N216" s="130"/>
      <c r="O216" s="317">
        <f t="shared" si="41"/>
        <v>314083</v>
      </c>
      <c r="P216" s="59"/>
      <c r="Q216" s="59"/>
      <c r="R216" s="248"/>
      <c r="S216" s="455"/>
    </row>
    <row r="217" spans="1:19" ht="15">
      <c r="A217" s="168" t="s">
        <v>307</v>
      </c>
      <c r="B217" s="109" t="s">
        <v>131</v>
      </c>
      <c r="C217" s="286">
        <f>624277+34+123991</f>
        <v>748302</v>
      </c>
      <c r="D217" s="37"/>
      <c r="E217" s="37"/>
      <c r="F217" s="110"/>
      <c r="G217" s="128"/>
      <c r="H217" s="128"/>
      <c r="I217" s="128"/>
      <c r="J217" s="127"/>
      <c r="K217" s="127"/>
      <c r="L217" s="127"/>
      <c r="M217" s="127"/>
      <c r="N217" s="130"/>
      <c r="O217" s="317">
        <f t="shared" si="41"/>
        <v>748302</v>
      </c>
      <c r="P217" s="59"/>
      <c r="Q217" s="59"/>
      <c r="R217" s="248"/>
      <c r="S217" s="455"/>
    </row>
    <row r="218" spans="1:19" ht="15">
      <c r="A218" s="168" t="s">
        <v>308</v>
      </c>
      <c r="B218" s="109" t="s">
        <v>132</v>
      </c>
      <c r="C218" s="286">
        <f>435311+4000+1400+31644</f>
        <v>472355</v>
      </c>
      <c r="D218" s="37"/>
      <c r="E218" s="37"/>
      <c r="F218" s="110"/>
      <c r="G218" s="115"/>
      <c r="H218" s="128"/>
      <c r="I218" s="128"/>
      <c r="J218" s="127"/>
      <c r="K218" s="127"/>
      <c r="L218" s="127"/>
      <c r="M218" s="127"/>
      <c r="N218" s="130"/>
      <c r="O218" s="317">
        <f t="shared" si="41"/>
        <v>472355</v>
      </c>
      <c r="P218" s="59"/>
      <c r="Q218" s="59"/>
      <c r="R218" s="248"/>
      <c r="S218" s="455"/>
    </row>
    <row r="219" spans="1:19" ht="15">
      <c r="A219" s="168" t="s">
        <v>309</v>
      </c>
      <c r="B219" s="109" t="s">
        <v>133</v>
      </c>
      <c r="C219" s="232">
        <f>136740+33052</f>
        <v>169792</v>
      </c>
      <c r="D219" s="37"/>
      <c r="E219" s="37"/>
      <c r="F219" s="110"/>
      <c r="G219" s="128"/>
      <c r="H219" s="128"/>
      <c r="I219" s="128"/>
      <c r="J219" s="127"/>
      <c r="K219" s="127"/>
      <c r="L219" s="127"/>
      <c r="M219" s="127"/>
      <c r="N219" s="130"/>
      <c r="O219" s="317">
        <f t="shared" si="41"/>
        <v>169792</v>
      </c>
      <c r="P219" s="59"/>
      <c r="Q219" s="59"/>
      <c r="R219" s="248"/>
      <c r="S219" s="455"/>
    </row>
    <row r="220" spans="1:19" ht="15">
      <c r="A220" s="168" t="s">
        <v>310</v>
      </c>
      <c r="B220" s="109" t="s">
        <v>189</v>
      </c>
      <c r="C220" s="232"/>
      <c r="D220" s="37"/>
      <c r="E220" s="37"/>
      <c r="F220" s="110"/>
      <c r="G220" s="128"/>
      <c r="H220" s="128"/>
      <c r="I220" s="128"/>
      <c r="J220" s="231">
        <v>181596</v>
      </c>
      <c r="K220" s="127"/>
      <c r="L220" s="127"/>
      <c r="M220" s="127"/>
      <c r="N220" s="130"/>
      <c r="O220" s="317">
        <f t="shared" si="41"/>
        <v>181596</v>
      </c>
      <c r="P220" s="59"/>
      <c r="Q220" s="59"/>
      <c r="R220" s="248"/>
      <c r="S220" s="455"/>
    </row>
    <row r="221" spans="1:19" ht="15">
      <c r="A221" s="166" t="s">
        <v>190</v>
      </c>
      <c r="B221" s="139" t="s">
        <v>191</v>
      </c>
      <c r="C221" s="53">
        <f>SUM(C222:C223)</f>
        <v>205000</v>
      </c>
      <c r="D221" s="37"/>
      <c r="E221" s="37"/>
      <c r="F221" s="110"/>
      <c r="G221" s="128"/>
      <c r="H221" s="128"/>
      <c r="I221" s="128"/>
      <c r="J221" s="53">
        <f>SUM(J222:J223)</f>
        <v>116824</v>
      </c>
      <c r="K221" s="127"/>
      <c r="L221" s="127"/>
      <c r="M221" s="127"/>
      <c r="N221" s="130"/>
      <c r="O221" s="317">
        <f t="shared" si="41"/>
        <v>321824</v>
      </c>
      <c r="P221" s="59"/>
      <c r="Q221" s="59"/>
      <c r="R221" s="248"/>
      <c r="S221" s="455"/>
    </row>
    <row r="222" spans="1:19" ht="15">
      <c r="A222" s="168" t="s">
        <v>527</v>
      </c>
      <c r="B222" s="109" t="s">
        <v>513</v>
      </c>
      <c r="C222" s="110">
        <v>40000</v>
      </c>
      <c r="D222" s="110"/>
      <c r="E222" s="110"/>
      <c r="F222" s="110"/>
      <c r="G222" s="128"/>
      <c r="H222" s="128"/>
      <c r="I222" s="128"/>
      <c r="J222" s="130">
        <v>100614</v>
      </c>
      <c r="K222" s="130"/>
      <c r="L222" s="130"/>
      <c r="M222" s="130"/>
      <c r="N222" s="130"/>
      <c r="O222" s="317">
        <f t="shared" si="41"/>
        <v>140614</v>
      </c>
      <c r="P222" s="59"/>
      <c r="Q222" s="59"/>
      <c r="R222" s="248"/>
      <c r="S222" s="455"/>
    </row>
    <row r="223" spans="1:19" ht="15">
      <c r="A223" s="168" t="s">
        <v>528</v>
      </c>
      <c r="B223" s="109" t="s">
        <v>514</v>
      </c>
      <c r="C223" s="110">
        <v>165000</v>
      </c>
      <c r="D223" s="110"/>
      <c r="E223" s="110"/>
      <c r="F223" s="110"/>
      <c r="G223" s="128"/>
      <c r="H223" s="128"/>
      <c r="I223" s="128"/>
      <c r="J223" s="130">
        <v>16210</v>
      </c>
      <c r="K223" s="130"/>
      <c r="L223" s="130"/>
      <c r="M223" s="130"/>
      <c r="N223" s="130"/>
      <c r="O223" s="317">
        <f t="shared" si="41"/>
        <v>181210</v>
      </c>
      <c r="P223" s="59"/>
      <c r="Q223" s="59"/>
      <c r="R223" s="248"/>
      <c r="S223" s="455"/>
    </row>
    <row r="224" spans="1:19" ht="29.25">
      <c r="A224" s="166" t="s">
        <v>487</v>
      </c>
      <c r="B224" s="139" t="s">
        <v>391</v>
      </c>
      <c r="C224" s="316">
        <f>191868+4589</f>
        <v>196457</v>
      </c>
      <c r="D224" s="167"/>
      <c r="E224" s="167"/>
      <c r="F224" s="167"/>
      <c r="G224" s="197"/>
      <c r="H224" s="197"/>
      <c r="I224" s="197"/>
      <c r="J224" s="198"/>
      <c r="K224" s="198"/>
      <c r="L224" s="198"/>
      <c r="M224" s="198"/>
      <c r="N224" s="198"/>
      <c r="O224" s="317">
        <f t="shared" si="41"/>
        <v>196457</v>
      </c>
      <c r="P224" s="59"/>
      <c r="Q224" s="59"/>
      <c r="R224" s="248"/>
      <c r="S224" s="455"/>
    </row>
    <row r="225" spans="1:19" ht="30.75" customHeight="1" thickBot="1">
      <c r="A225" s="199" t="s">
        <v>134</v>
      </c>
      <c r="B225" s="200" t="s">
        <v>311</v>
      </c>
      <c r="C225" s="335">
        <f>SUM(C226:C249)</f>
        <v>3150524</v>
      </c>
      <c r="D225" s="335">
        <f aca="true" t="shared" si="46" ref="D225:M225">SUM(D226:D249)</f>
        <v>0</v>
      </c>
      <c r="E225" s="335">
        <f t="shared" si="46"/>
        <v>0</v>
      </c>
      <c r="F225" s="335">
        <f t="shared" si="46"/>
        <v>0</v>
      </c>
      <c r="G225" s="335">
        <f t="shared" si="46"/>
        <v>23763</v>
      </c>
      <c r="H225" s="335">
        <f t="shared" si="46"/>
        <v>0</v>
      </c>
      <c r="I225" s="335">
        <f t="shared" si="46"/>
        <v>21066</v>
      </c>
      <c r="J225" s="335">
        <f t="shared" si="46"/>
        <v>13463</v>
      </c>
      <c r="K225" s="335">
        <f t="shared" si="46"/>
        <v>26924</v>
      </c>
      <c r="L225" s="335">
        <f t="shared" si="46"/>
        <v>22647</v>
      </c>
      <c r="M225" s="335">
        <f t="shared" si="46"/>
        <v>14888</v>
      </c>
      <c r="N225" s="335">
        <f>SUM(N226:N249)</f>
        <v>15368</v>
      </c>
      <c r="O225" s="336">
        <f t="shared" si="41"/>
        <v>3288643</v>
      </c>
      <c r="P225" s="59"/>
      <c r="Q225" s="59"/>
      <c r="R225" s="248"/>
      <c r="S225" s="455"/>
    </row>
    <row r="226" spans="1:19" ht="30.75" customHeight="1">
      <c r="A226" s="183" t="s">
        <v>523</v>
      </c>
      <c r="B226" s="185" t="s">
        <v>524</v>
      </c>
      <c r="C226" s="488">
        <f>17036+26339-1751</f>
        <v>41624</v>
      </c>
      <c r="D226" s="489"/>
      <c r="E226" s="489"/>
      <c r="F226" s="489"/>
      <c r="G226" s="489"/>
      <c r="H226" s="489"/>
      <c r="I226" s="489"/>
      <c r="J226" s="489">
        <v>2008</v>
      </c>
      <c r="K226" s="489"/>
      <c r="L226" s="489"/>
      <c r="M226" s="489"/>
      <c r="N226" s="490"/>
      <c r="O226" s="317">
        <f t="shared" si="41"/>
        <v>43632</v>
      </c>
      <c r="P226" s="59"/>
      <c r="Q226" s="59"/>
      <c r="R226" s="248"/>
      <c r="S226" s="455"/>
    </row>
    <row r="227" spans="1:19" ht="30.75" customHeight="1">
      <c r="A227" s="183" t="s">
        <v>643</v>
      </c>
      <c r="B227" s="255" t="s">
        <v>644</v>
      </c>
      <c r="C227" s="232">
        <v>4178</v>
      </c>
      <c r="D227" s="331"/>
      <c r="E227" s="331"/>
      <c r="F227" s="331"/>
      <c r="G227" s="331"/>
      <c r="H227" s="331"/>
      <c r="I227" s="331"/>
      <c r="J227" s="331"/>
      <c r="K227" s="331"/>
      <c r="L227" s="331"/>
      <c r="M227" s="331"/>
      <c r="N227" s="519"/>
      <c r="O227" s="317">
        <f t="shared" si="41"/>
        <v>4178</v>
      </c>
      <c r="P227" s="59"/>
      <c r="Q227" s="59"/>
      <c r="R227" s="248"/>
      <c r="S227" s="455"/>
    </row>
    <row r="228" spans="1:19" ht="30">
      <c r="A228" s="183" t="s">
        <v>681</v>
      </c>
      <c r="B228" s="491" t="s">
        <v>692</v>
      </c>
      <c r="C228" s="232">
        <v>27613</v>
      </c>
      <c r="D228" s="331"/>
      <c r="E228" s="331"/>
      <c r="F228" s="331"/>
      <c r="G228" s="331"/>
      <c r="H228" s="331"/>
      <c r="I228" s="331"/>
      <c r="J228" s="331"/>
      <c r="K228" s="331"/>
      <c r="L228" s="331"/>
      <c r="M228" s="331"/>
      <c r="N228" s="519"/>
      <c r="O228" s="317">
        <f t="shared" si="41"/>
        <v>27613</v>
      </c>
      <c r="P228" s="59"/>
      <c r="Q228" s="59"/>
      <c r="R228" s="248"/>
      <c r="S228" s="455"/>
    </row>
    <row r="229" spans="1:19" ht="44.25" customHeight="1">
      <c r="A229" s="183" t="s">
        <v>674</v>
      </c>
      <c r="B229" s="255" t="s">
        <v>693</v>
      </c>
      <c r="C229" s="232">
        <v>1870</v>
      </c>
      <c r="D229" s="331"/>
      <c r="E229" s="331"/>
      <c r="F229" s="331"/>
      <c r="G229" s="331"/>
      <c r="H229" s="331"/>
      <c r="I229" s="331"/>
      <c r="J229" s="331"/>
      <c r="K229" s="331"/>
      <c r="L229" s="331"/>
      <c r="M229" s="331"/>
      <c r="N229" s="519"/>
      <c r="O229" s="317">
        <f t="shared" si="41"/>
        <v>1870</v>
      </c>
      <c r="P229" s="59"/>
      <c r="Q229" s="59"/>
      <c r="R229" s="248"/>
      <c r="S229" s="455"/>
    </row>
    <row r="230" spans="1:19" ht="43.5" customHeight="1">
      <c r="A230" s="183" t="s">
        <v>677</v>
      </c>
      <c r="B230" s="255" t="s">
        <v>694</v>
      </c>
      <c r="C230" s="321">
        <v>1700</v>
      </c>
      <c r="D230" s="369"/>
      <c r="E230" s="369"/>
      <c r="F230" s="369"/>
      <c r="G230" s="369"/>
      <c r="H230" s="369"/>
      <c r="I230" s="369"/>
      <c r="J230" s="369"/>
      <c r="K230" s="369"/>
      <c r="L230" s="369"/>
      <c r="M230" s="369"/>
      <c r="N230" s="369"/>
      <c r="O230" s="317">
        <f t="shared" si="41"/>
        <v>1700</v>
      </c>
      <c r="P230" s="59"/>
      <c r="Q230" s="59"/>
      <c r="R230" s="248"/>
      <c r="S230" s="455"/>
    </row>
    <row r="231" spans="1:19" ht="15">
      <c r="A231" s="183" t="s">
        <v>312</v>
      </c>
      <c r="B231" s="233" t="s">
        <v>447</v>
      </c>
      <c r="C231" s="286"/>
      <c r="D231" s="37"/>
      <c r="E231" s="37"/>
      <c r="F231" s="110"/>
      <c r="G231" s="128"/>
      <c r="H231" s="128"/>
      <c r="I231" s="128"/>
      <c r="J231" s="127"/>
      <c r="K231" s="127">
        <v>26924</v>
      </c>
      <c r="L231" s="127">
        <v>22647</v>
      </c>
      <c r="M231" s="127"/>
      <c r="N231" s="130"/>
      <c r="O231" s="317">
        <f t="shared" si="41"/>
        <v>49571</v>
      </c>
      <c r="P231" s="59"/>
      <c r="Q231" s="59"/>
      <c r="R231" s="248"/>
      <c r="S231" s="455"/>
    </row>
    <row r="232" spans="1:19" ht="15">
      <c r="A232" s="183" t="s">
        <v>313</v>
      </c>
      <c r="B232" s="354" t="s">
        <v>448</v>
      </c>
      <c r="C232" s="286"/>
      <c r="D232" s="37"/>
      <c r="E232" s="37"/>
      <c r="F232" s="110"/>
      <c r="G232" s="115">
        <v>23763</v>
      </c>
      <c r="H232" s="128"/>
      <c r="I232" s="115">
        <v>21066</v>
      </c>
      <c r="J232" s="127">
        <v>11455</v>
      </c>
      <c r="K232" s="127"/>
      <c r="L232" s="127"/>
      <c r="M232" s="127">
        <v>14888</v>
      </c>
      <c r="N232" s="130">
        <v>15368</v>
      </c>
      <c r="O232" s="317">
        <f t="shared" si="41"/>
        <v>86540</v>
      </c>
      <c r="P232" s="59"/>
      <c r="Q232" s="59"/>
      <c r="R232" s="248"/>
      <c r="S232" s="455"/>
    </row>
    <row r="233" spans="1:19" ht="30">
      <c r="A233" s="168" t="s">
        <v>453</v>
      </c>
      <c r="B233" s="185" t="s">
        <v>454</v>
      </c>
      <c r="C233" s="286"/>
      <c r="D233" s="37"/>
      <c r="E233" s="37"/>
      <c r="F233" s="110"/>
      <c r="G233" s="115"/>
      <c r="H233" s="128"/>
      <c r="I233" s="115"/>
      <c r="J233" s="127"/>
      <c r="K233" s="127"/>
      <c r="L233" s="127"/>
      <c r="M233" s="127"/>
      <c r="N233" s="130"/>
      <c r="O233" s="317">
        <f t="shared" si="41"/>
        <v>0</v>
      </c>
      <c r="P233" s="59"/>
      <c r="Q233" s="59"/>
      <c r="R233" s="248"/>
      <c r="S233" s="455"/>
    </row>
    <row r="234" spans="1:19" ht="60">
      <c r="A234" s="168" t="s">
        <v>374</v>
      </c>
      <c r="B234" s="239" t="s">
        <v>480</v>
      </c>
      <c r="C234" s="110">
        <v>732</v>
      </c>
      <c r="D234" s="37"/>
      <c r="E234" s="37"/>
      <c r="F234" s="110"/>
      <c r="G234" s="128"/>
      <c r="H234" s="128"/>
      <c r="I234" s="128"/>
      <c r="J234" s="127"/>
      <c r="K234" s="127"/>
      <c r="L234" s="127"/>
      <c r="M234" s="127"/>
      <c r="N234" s="130"/>
      <c r="O234" s="317">
        <f t="shared" si="41"/>
        <v>732</v>
      </c>
      <c r="P234" s="59"/>
      <c r="Q234" s="59"/>
      <c r="R234" s="248"/>
      <c r="S234" s="455"/>
    </row>
    <row r="235" spans="1:19" ht="60">
      <c r="A235" s="168" t="s">
        <v>392</v>
      </c>
      <c r="B235" s="239" t="s">
        <v>481</v>
      </c>
      <c r="C235" s="286">
        <v>3316</v>
      </c>
      <c r="D235" s="37"/>
      <c r="E235" s="37"/>
      <c r="F235" s="110"/>
      <c r="G235" s="128"/>
      <c r="H235" s="128"/>
      <c r="I235" s="128"/>
      <c r="J235" s="127"/>
      <c r="K235" s="127"/>
      <c r="L235" s="127"/>
      <c r="M235" s="127"/>
      <c r="N235" s="130"/>
      <c r="O235" s="317">
        <f t="shared" si="41"/>
        <v>3316</v>
      </c>
      <c r="P235" s="59"/>
      <c r="Q235" s="59"/>
      <c r="R235" s="248"/>
      <c r="S235" s="455"/>
    </row>
    <row r="236" spans="1:19" ht="30">
      <c r="A236" s="183" t="s">
        <v>393</v>
      </c>
      <c r="B236" s="292" t="s">
        <v>394</v>
      </c>
      <c r="C236" s="286">
        <f>7288-57</f>
        <v>7231</v>
      </c>
      <c r="D236" s="37"/>
      <c r="E236" s="37"/>
      <c r="F236" s="110"/>
      <c r="G236" s="115"/>
      <c r="H236" s="128"/>
      <c r="I236" s="128"/>
      <c r="J236" s="127"/>
      <c r="K236" s="127"/>
      <c r="L236" s="127"/>
      <c r="M236" s="127"/>
      <c r="N236" s="130"/>
      <c r="O236" s="317">
        <f t="shared" si="41"/>
        <v>7231</v>
      </c>
      <c r="P236" s="59"/>
      <c r="Q236" s="59"/>
      <c r="R236" s="248"/>
      <c r="S236" s="455"/>
    </row>
    <row r="237" spans="1:19" ht="30">
      <c r="A237" s="168" t="s">
        <v>395</v>
      </c>
      <c r="B237" s="255" t="s">
        <v>396</v>
      </c>
      <c r="C237" s="286">
        <v>2800000</v>
      </c>
      <c r="D237" s="110"/>
      <c r="E237" s="110"/>
      <c r="F237" s="110"/>
      <c r="G237" s="128"/>
      <c r="H237" s="120"/>
      <c r="I237" s="120"/>
      <c r="J237" s="121"/>
      <c r="K237" s="121"/>
      <c r="L237" s="121"/>
      <c r="M237" s="121"/>
      <c r="N237" s="222"/>
      <c r="O237" s="317">
        <f t="shared" si="41"/>
        <v>2800000</v>
      </c>
      <c r="P237" s="59"/>
      <c r="Q237" s="59"/>
      <c r="R237" s="248"/>
      <c r="S237" s="455"/>
    </row>
    <row r="238" spans="1:19" ht="45">
      <c r="A238" s="183" t="s">
        <v>419</v>
      </c>
      <c r="B238" s="252" t="s">
        <v>418</v>
      </c>
      <c r="C238" s="286">
        <v>8786</v>
      </c>
      <c r="D238" s="110"/>
      <c r="E238" s="110"/>
      <c r="F238" s="110"/>
      <c r="G238" s="128"/>
      <c r="H238" s="120"/>
      <c r="I238" s="120"/>
      <c r="J238" s="121"/>
      <c r="K238" s="121"/>
      <c r="L238" s="121"/>
      <c r="M238" s="121"/>
      <c r="N238" s="222"/>
      <c r="O238" s="317">
        <f t="shared" si="41"/>
        <v>8786</v>
      </c>
      <c r="P238" s="59"/>
      <c r="Q238" s="59"/>
      <c r="R238" s="248"/>
      <c r="S238" s="455"/>
    </row>
    <row r="239" spans="1:19" ht="60">
      <c r="A239" s="168" t="s">
        <v>424</v>
      </c>
      <c r="B239" s="255" t="s">
        <v>482</v>
      </c>
      <c r="C239" s="286">
        <v>5675</v>
      </c>
      <c r="D239" s="110"/>
      <c r="E239" s="110"/>
      <c r="F239" s="110"/>
      <c r="G239" s="128"/>
      <c r="H239" s="128"/>
      <c r="I239" s="128"/>
      <c r="J239" s="127"/>
      <c r="K239" s="127"/>
      <c r="L239" s="127"/>
      <c r="M239" s="127"/>
      <c r="N239" s="192"/>
      <c r="O239" s="317">
        <f t="shared" si="41"/>
        <v>5675</v>
      </c>
      <c r="P239" s="59"/>
      <c r="Q239" s="59"/>
      <c r="R239" s="248"/>
      <c r="S239" s="455"/>
    </row>
    <row r="240" spans="1:19" ht="30">
      <c r="A240" s="168" t="s">
        <v>518</v>
      </c>
      <c r="B240" s="252" t="s">
        <v>520</v>
      </c>
      <c r="C240" s="286"/>
      <c r="D240" s="110"/>
      <c r="E240" s="110"/>
      <c r="F240" s="110"/>
      <c r="G240" s="128"/>
      <c r="H240" s="196"/>
      <c r="I240" s="196"/>
      <c r="J240" s="130"/>
      <c r="K240" s="130"/>
      <c r="L240" s="130"/>
      <c r="M240" s="130"/>
      <c r="N240" s="130"/>
      <c r="O240" s="317">
        <f t="shared" si="41"/>
        <v>0</v>
      </c>
      <c r="P240" s="59"/>
      <c r="Q240" s="59"/>
      <c r="R240" s="248"/>
      <c r="S240" s="455"/>
    </row>
    <row r="241" spans="1:19" ht="45">
      <c r="A241" s="241" t="s">
        <v>522</v>
      </c>
      <c r="B241" s="255" t="s">
        <v>521</v>
      </c>
      <c r="C241" s="232">
        <v>1419</v>
      </c>
      <c r="D241" s="37"/>
      <c r="E241" s="37"/>
      <c r="F241" s="37"/>
      <c r="G241" s="128"/>
      <c r="H241" s="128"/>
      <c r="I241" s="128"/>
      <c r="J241" s="127"/>
      <c r="K241" s="127"/>
      <c r="L241" s="127"/>
      <c r="M241" s="127"/>
      <c r="N241" s="130"/>
      <c r="O241" s="317">
        <f t="shared" si="41"/>
        <v>1419</v>
      </c>
      <c r="P241" s="59"/>
      <c r="Q241" s="59"/>
      <c r="R241" s="248"/>
      <c r="S241" s="455"/>
    </row>
    <row r="242" spans="1:19" ht="60">
      <c r="A242" s="241" t="s">
        <v>534</v>
      </c>
      <c r="B242" s="255" t="s">
        <v>535</v>
      </c>
      <c r="C242" s="232">
        <v>34906</v>
      </c>
      <c r="D242" s="37"/>
      <c r="E242" s="37"/>
      <c r="F242" s="37"/>
      <c r="G242" s="128"/>
      <c r="H242" s="128"/>
      <c r="I242" s="128"/>
      <c r="J242" s="127"/>
      <c r="K242" s="127"/>
      <c r="L242" s="127"/>
      <c r="M242" s="127"/>
      <c r="N242" s="130"/>
      <c r="O242" s="317">
        <f t="shared" si="41"/>
        <v>34906</v>
      </c>
      <c r="P242" s="59"/>
      <c r="Q242" s="59"/>
      <c r="R242" s="248"/>
      <c r="S242" s="455"/>
    </row>
    <row r="243" spans="1:19" ht="60">
      <c r="A243" s="241" t="s">
        <v>536</v>
      </c>
      <c r="B243" s="255" t="s">
        <v>540</v>
      </c>
      <c r="C243" s="232">
        <v>10678</v>
      </c>
      <c r="D243" s="37"/>
      <c r="E243" s="37"/>
      <c r="F243" s="37"/>
      <c r="G243" s="128"/>
      <c r="H243" s="128"/>
      <c r="I243" s="128"/>
      <c r="J243" s="127"/>
      <c r="K243" s="127"/>
      <c r="L243" s="127"/>
      <c r="M243" s="127"/>
      <c r="N243" s="130"/>
      <c r="O243" s="317">
        <f t="shared" si="41"/>
        <v>10678</v>
      </c>
      <c r="P243" s="59"/>
      <c r="Q243" s="59"/>
      <c r="R243" s="248"/>
      <c r="S243" s="455"/>
    </row>
    <row r="244" spans="1:19" ht="45">
      <c r="A244" s="241" t="s">
        <v>537</v>
      </c>
      <c r="B244" s="255" t="s">
        <v>541</v>
      </c>
      <c r="C244" s="232">
        <v>12702</v>
      </c>
      <c r="D244" s="37"/>
      <c r="E244" s="37"/>
      <c r="F244" s="37"/>
      <c r="G244" s="128"/>
      <c r="H244" s="128"/>
      <c r="I244" s="128"/>
      <c r="J244" s="127"/>
      <c r="K244" s="127"/>
      <c r="L244" s="127"/>
      <c r="M244" s="127"/>
      <c r="N244" s="130"/>
      <c r="O244" s="317">
        <f t="shared" si="41"/>
        <v>12702</v>
      </c>
      <c r="P244" s="59"/>
      <c r="Q244" s="59"/>
      <c r="R244" s="248"/>
      <c r="S244" s="455"/>
    </row>
    <row r="245" spans="1:19" ht="30">
      <c r="A245" s="241" t="s">
        <v>547</v>
      </c>
      <c r="B245" s="370" t="s">
        <v>546</v>
      </c>
      <c r="C245" s="232">
        <f>108874+50000</f>
        <v>158874</v>
      </c>
      <c r="D245" s="37"/>
      <c r="E245" s="37"/>
      <c r="F245" s="37"/>
      <c r="G245" s="128"/>
      <c r="H245" s="128"/>
      <c r="I245" s="128"/>
      <c r="J245" s="127"/>
      <c r="K245" s="127"/>
      <c r="L245" s="127"/>
      <c r="M245" s="127"/>
      <c r="N245" s="130"/>
      <c r="O245" s="317">
        <f t="shared" si="41"/>
        <v>158874</v>
      </c>
      <c r="P245" s="59"/>
      <c r="Q245" s="59"/>
      <c r="R245" s="248"/>
      <c r="S245" s="455"/>
    </row>
    <row r="246" spans="1:19" ht="30">
      <c r="A246" s="241" t="s">
        <v>554</v>
      </c>
      <c r="B246" s="370" t="s">
        <v>613</v>
      </c>
      <c r="C246" s="232">
        <v>4000</v>
      </c>
      <c r="D246" s="37"/>
      <c r="E246" s="110"/>
      <c r="F246" s="110"/>
      <c r="G246" s="128"/>
      <c r="H246" s="196"/>
      <c r="I246" s="196"/>
      <c r="J246" s="130"/>
      <c r="K246" s="130"/>
      <c r="L246" s="130"/>
      <c r="M246" s="130"/>
      <c r="N246" s="192"/>
      <c r="O246" s="317">
        <f t="shared" si="41"/>
        <v>4000</v>
      </c>
      <c r="P246" s="59"/>
      <c r="Q246" s="59"/>
      <c r="R246" s="248"/>
      <c r="S246" s="455"/>
    </row>
    <row r="247" spans="1:19" ht="60">
      <c r="A247" s="241" t="s">
        <v>543</v>
      </c>
      <c r="B247" s="255" t="s">
        <v>542</v>
      </c>
      <c r="C247" s="232">
        <v>5875</v>
      </c>
      <c r="D247" s="118"/>
      <c r="E247" s="110"/>
      <c r="F247" s="110"/>
      <c r="G247" s="128"/>
      <c r="H247" s="196"/>
      <c r="I247" s="196"/>
      <c r="J247" s="130"/>
      <c r="K247" s="130"/>
      <c r="L247" s="130"/>
      <c r="M247" s="130"/>
      <c r="N247" s="192"/>
      <c r="O247" s="317">
        <f t="shared" si="41"/>
        <v>5875</v>
      </c>
      <c r="P247" s="59"/>
      <c r="Q247" s="59"/>
      <c r="R247" s="248"/>
      <c r="S247" s="455"/>
    </row>
    <row r="248" spans="1:19" ht="60">
      <c r="A248" s="241" t="s">
        <v>632</v>
      </c>
      <c r="B248" s="255" t="s">
        <v>633</v>
      </c>
      <c r="C248" s="232">
        <v>6000</v>
      </c>
      <c r="D248" s="37"/>
      <c r="E248" s="110"/>
      <c r="F248" s="110"/>
      <c r="G248" s="128"/>
      <c r="H248" s="196"/>
      <c r="I248" s="196"/>
      <c r="J248" s="130"/>
      <c r="K248" s="130"/>
      <c r="L248" s="130"/>
      <c r="M248" s="130"/>
      <c r="N248" s="192"/>
      <c r="O248" s="317">
        <f t="shared" si="41"/>
        <v>6000</v>
      </c>
      <c r="P248" s="59"/>
      <c r="Q248" s="59"/>
      <c r="R248" s="248"/>
      <c r="S248" s="455"/>
    </row>
    <row r="249" spans="1:19" ht="60.75" thickBot="1">
      <c r="A249" s="241" t="s">
        <v>649</v>
      </c>
      <c r="B249" s="499" t="s">
        <v>651</v>
      </c>
      <c r="C249" s="478">
        <v>13345</v>
      </c>
      <c r="D249" s="498"/>
      <c r="E249" s="141"/>
      <c r="F249" s="141"/>
      <c r="G249" s="180"/>
      <c r="H249" s="290"/>
      <c r="I249" s="290"/>
      <c r="J249" s="191"/>
      <c r="K249" s="191"/>
      <c r="L249" s="191"/>
      <c r="M249" s="191"/>
      <c r="N249" s="191"/>
      <c r="O249" s="317">
        <f t="shared" si="41"/>
        <v>13345</v>
      </c>
      <c r="P249" s="59"/>
      <c r="Q249" s="59"/>
      <c r="R249" s="248"/>
      <c r="S249" s="455"/>
    </row>
    <row r="250" spans="1:19" ht="15.75" thickBot="1">
      <c r="A250" s="179" t="s">
        <v>15</v>
      </c>
      <c r="B250" s="200" t="s">
        <v>135</v>
      </c>
      <c r="C250" s="335">
        <f>SUM(C251+C252+C253+C254)</f>
        <v>3294242</v>
      </c>
      <c r="D250" s="470">
        <f aca="true" t="shared" si="47" ref="D250:M250">SUM(D251+D252+D253+D254)</f>
        <v>32566</v>
      </c>
      <c r="E250" s="122">
        <f t="shared" si="47"/>
        <v>0</v>
      </c>
      <c r="F250" s="122">
        <f t="shared" si="47"/>
        <v>0</v>
      </c>
      <c r="G250" s="103">
        <f t="shared" si="47"/>
        <v>83969</v>
      </c>
      <c r="H250" s="122">
        <f t="shared" si="47"/>
        <v>306833</v>
      </c>
      <c r="I250" s="122">
        <f t="shared" si="47"/>
        <v>43104</v>
      </c>
      <c r="J250" s="122">
        <f t="shared" si="47"/>
        <v>665744</v>
      </c>
      <c r="K250" s="122">
        <f t="shared" si="47"/>
        <v>29773</v>
      </c>
      <c r="L250" s="122">
        <f t="shared" si="47"/>
        <v>24486</v>
      </c>
      <c r="M250" s="122">
        <f t="shared" si="47"/>
        <v>23960</v>
      </c>
      <c r="N250" s="122">
        <f>SUM(N251+N252+N253+N254)</f>
        <v>41294</v>
      </c>
      <c r="O250" s="302">
        <f t="shared" si="41"/>
        <v>4545971</v>
      </c>
      <c r="P250" s="59"/>
      <c r="Q250" s="59"/>
      <c r="R250" s="248"/>
      <c r="S250" s="455"/>
    </row>
    <row r="251" spans="1:19" ht="16.5" customHeight="1">
      <c r="A251" s="166" t="s">
        <v>614</v>
      </c>
      <c r="B251" s="201" t="s">
        <v>232</v>
      </c>
      <c r="C251" s="165">
        <v>90533</v>
      </c>
      <c r="D251" s="202"/>
      <c r="E251" s="202"/>
      <c r="F251" s="165"/>
      <c r="G251" s="204">
        <v>800</v>
      </c>
      <c r="H251" s="203"/>
      <c r="I251" s="204"/>
      <c r="J251" s="205">
        <v>70157</v>
      </c>
      <c r="K251" s="205"/>
      <c r="L251" s="205"/>
      <c r="M251" s="205"/>
      <c r="N251" s="234"/>
      <c r="O251" s="315">
        <f t="shared" si="41"/>
        <v>161490</v>
      </c>
      <c r="P251" s="59"/>
      <c r="Q251" s="59"/>
      <c r="R251" s="248"/>
      <c r="S251" s="455"/>
    </row>
    <row r="252" spans="1:19" ht="15">
      <c r="A252" s="162" t="s">
        <v>615</v>
      </c>
      <c r="B252" s="163" t="s">
        <v>192</v>
      </c>
      <c r="C252" s="164">
        <v>20356</v>
      </c>
      <c r="D252" s="164"/>
      <c r="E252" s="164"/>
      <c r="F252" s="164"/>
      <c r="G252" s="124">
        <v>1800</v>
      </c>
      <c r="H252" s="124">
        <v>1800</v>
      </c>
      <c r="I252" s="124">
        <v>1800</v>
      </c>
      <c r="J252" s="124">
        <v>1800</v>
      </c>
      <c r="K252" s="53">
        <v>1800</v>
      </c>
      <c r="L252" s="235">
        <v>1800</v>
      </c>
      <c r="M252" s="164">
        <v>1800</v>
      </c>
      <c r="N252" s="164">
        <v>1800</v>
      </c>
      <c r="O252" s="304">
        <f t="shared" si="41"/>
        <v>34756</v>
      </c>
      <c r="P252" s="59"/>
      <c r="Q252" s="59"/>
      <c r="R252" s="248"/>
      <c r="S252" s="455"/>
    </row>
    <row r="253" spans="1:19" ht="15">
      <c r="A253" s="162" t="s">
        <v>136</v>
      </c>
      <c r="B253" s="163" t="s">
        <v>137</v>
      </c>
      <c r="C253" s="314"/>
      <c r="D253" s="107"/>
      <c r="E253" s="107"/>
      <c r="F253" s="123"/>
      <c r="G253" s="137"/>
      <c r="H253" s="137"/>
      <c r="I253" s="137"/>
      <c r="J253" s="126"/>
      <c r="K253" s="126"/>
      <c r="L253" s="126"/>
      <c r="M253" s="126"/>
      <c r="N253" s="147"/>
      <c r="O253" s="317">
        <f t="shared" si="41"/>
        <v>0</v>
      </c>
      <c r="P253" s="59"/>
      <c r="Q253" s="59"/>
      <c r="R253" s="248"/>
      <c r="S253" s="455"/>
    </row>
    <row r="254" spans="1:19" ht="29.25">
      <c r="A254" s="166" t="s">
        <v>138</v>
      </c>
      <c r="B254" s="139" t="s">
        <v>139</v>
      </c>
      <c r="C254" s="316">
        <f>SUM(C255:C264)</f>
        <v>3183353</v>
      </c>
      <c r="D254" s="167">
        <f aca="true" t="shared" si="48" ref="D254:N254">SUM(D255:D264)</f>
        <v>32566</v>
      </c>
      <c r="E254" s="167">
        <f t="shared" si="48"/>
        <v>0</v>
      </c>
      <c r="F254" s="167">
        <f t="shared" si="48"/>
        <v>0</v>
      </c>
      <c r="G254" s="53">
        <f t="shared" si="48"/>
        <v>81369</v>
      </c>
      <c r="H254" s="167">
        <f t="shared" si="48"/>
        <v>305033</v>
      </c>
      <c r="I254" s="167">
        <f>SUM(I255:I264)</f>
        <v>41304</v>
      </c>
      <c r="J254" s="167">
        <f t="shared" si="48"/>
        <v>593787</v>
      </c>
      <c r="K254" s="167">
        <f t="shared" si="48"/>
        <v>27973</v>
      </c>
      <c r="L254" s="167">
        <f t="shared" si="48"/>
        <v>22686</v>
      </c>
      <c r="M254" s="167">
        <f t="shared" si="48"/>
        <v>22160</v>
      </c>
      <c r="N254" s="167">
        <f t="shared" si="48"/>
        <v>39494</v>
      </c>
      <c r="O254" s="317">
        <f aca="true" t="shared" si="49" ref="O254:O271">SUM(C254:N254)</f>
        <v>4349725</v>
      </c>
      <c r="P254" s="59"/>
      <c r="Q254" s="59"/>
      <c r="R254" s="248"/>
      <c r="S254" s="455"/>
    </row>
    <row r="255" spans="1:19" ht="15">
      <c r="A255" s="168" t="s">
        <v>314</v>
      </c>
      <c r="B255" s="109" t="s">
        <v>140</v>
      </c>
      <c r="C255" s="286">
        <f>901561+17177</f>
        <v>918738</v>
      </c>
      <c r="D255" s="37">
        <v>32566</v>
      </c>
      <c r="E255" s="37"/>
      <c r="F255" s="110"/>
      <c r="G255" s="115">
        <v>990</v>
      </c>
      <c r="H255" s="115"/>
      <c r="I255" s="115">
        <v>650</v>
      </c>
      <c r="J255" s="127">
        <v>2553</v>
      </c>
      <c r="K255" s="127">
        <v>300</v>
      </c>
      <c r="L255" s="127">
        <v>1100</v>
      </c>
      <c r="M255" s="127">
        <v>2860</v>
      </c>
      <c r="N255" s="130">
        <v>800</v>
      </c>
      <c r="O255" s="317">
        <f t="shared" si="49"/>
        <v>960557</v>
      </c>
      <c r="P255" s="59"/>
      <c r="Q255" s="59"/>
      <c r="R255" s="248"/>
      <c r="S255" s="455"/>
    </row>
    <row r="256" spans="1:19" ht="15">
      <c r="A256" s="168" t="s">
        <v>315</v>
      </c>
      <c r="B256" s="109" t="s">
        <v>31</v>
      </c>
      <c r="C256" s="286">
        <f>1071460+11612</f>
        <v>1083072</v>
      </c>
      <c r="D256" s="37"/>
      <c r="E256" s="37"/>
      <c r="F256" s="110"/>
      <c r="G256" s="115">
        <v>80379</v>
      </c>
      <c r="H256" s="115">
        <v>44251</v>
      </c>
      <c r="I256" s="115">
        <v>40104</v>
      </c>
      <c r="J256" s="127">
        <v>47686</v>
      </c>
      <c r="K256" s="127">
        <v>27673</v>
      </c>
      <c r="L256" s="127">
        <v>21586</v>
      </c>
      <c r="M256" s="127">
        <v>19300</v>
      </c>
      <c r="N256" s="130">
        <v>38694</v>
      </c>
      <c r="O256" s="317">
        <f t="shared" si="49"/>
        <v>1402745</v>
      </c>
      <c r="P256" s="59"/>
      <c r="Q256" s="59"/>
      <c r="R256" s="248"/>
      <c r="S256" s="455"/>
    </row>
    <row r="257" spans="1:19" ht="15">
      <c r="A257" s="168" t="s">
        <v>449</v>
      </c>
      <c r="B257" s="109" t="s">
        <v>450</v>
      </c>
      <c r="C257" s="286">
        <v>184617</v>
      </c>
      <c r="D257" s="37"/>
      <c r="E257" s="37"/>
      <c r="F257" s="110"/>
      <c r="G257" s="115"/>
      <c r="H257" s="115"/>
      <c r="I257" s="115"/>
      <c r="J257" s="127"/>
      <c r="K257" s="127"/>
      <c r="L257" s="127"/>
      <c r="M257" s="127"/>
      <c r="N257" s="130"/>
      <c r="O257" s="317">
        <f t="shared" si="49"/>
        <v>184617</v>
      </c>
      <c r="P257" s="59"/>
      <c r="Q257" s="59"/>
      <c r="R257" s="248"/>
      <c r="S257" s="455"/>
    </row>
    <row r="258" spans="1:19" ht="15">
      <c r="A258" s="168" t="s">
        <v>316</v>
      </c>
      <c r="B258" s="109" t="s">
        <v>194</v>
      </c>
      <c r="C258" s="286"/>
      <c r="D258" s="37"/>
      <c r="E258" s="37"/>
      <c r="F258" s="110"/>
      <c r="G258" s="115"/>
      <c r="H258" s="115">
        <v>260782</v>
      </c>
      <c r="I258" s="115"/>
      <c r="J258" s="127"/>
      <c r="K258" s="127"/>
      <c r="L258" s="127"/>
      <c r="M258" s="127"/>
      <c r="N258" s="130"/>
      <c r="O258" s="317">
        <f t="shared" si="49"/>
        <v>260782</v>
      </c>
      <c r="P258" s="59"/>
      <c r="Q258" s="59"/>
      <c r="R258" s="248"/>
      <c r="S258" s="455"/>
    </row>
    <row r="259" spans="1:19" ht="15">
      <c r="A259" s="168" t="s">
        <v>317</v>
      </c>
      <c r="B259" s="109" t="s">
        <v>195</v>
      </c>
      <c r="C259" s="286"/>
      <c r="D259" s="37"/>
      <c r="E259" s="37"/>
      <c r="F259" s="110"/>
      <c r="G259" s="115"/>
      <c r="H259" s="115"/>
      <c r="I259" s="115"/>
      <c r="J259" s="127">
        <v>539315</v>
      </c>
      <c r="K259" s="127"/>
      <c r="L259" s="127"/>
      <c r="M259" s="127"/>
      <c r="N259" s="130"/>
      <c r="O259" s="317">
        <f t="shared" si="49"/>
        <v>539315</v>
      </c>
      <c r="P259" s="59"/>
      <c r="Q259" s="59"/>
      <c r="R259" s="248"/>
      <c r="S259" s="455"/>
    </row>
    <row r="260" spans="1:19" ht="30">
      <c r="A260" s="168" t="s">
        <v>485</v>
      </c>
      <c r="B260" s="233" t="s">
        <v>486</v>
      </c>
      <c r="C260" s="286">
        <f>42444+20600+53800</f>
        <v>116844</v>
      </c>
      <c r="D260" s="37"/>
      <c r="E260" s="37"/>
      <c r="F260" s="110"/>
      <c r="G260" s="115"/>
      <c r="H260" s="115"/>
      <c r="I260" s="115"/>
      <c r="J260" s="130"/>
      <c r="K260" s="130"/>
      <c r="L260" s="130"/>
      <c r="M260" s="130"/>
      <c r="N260" s="130"/>
      <c r="O260" s="317">
        <f t="shared" si="49"/>
        <v>116844</v>
      </c>
      <c r="P260" s="59"/>
      <c r="Q260" s="59"/>
      <c r="R260" s="248"/>
      <c r="S260" s="455"/>
    </row>
    <row r="261" spans="1:19" ht="30">
      <c r="A261" s="168" t="s">
        <v>655</v>
      </c>
      <c r="B261" s="233" t="s">
        <v>656</v>
      </c>
      <c r="C261" s="286">
        <v>3500</v>
      </c>
      <c r="D261" s="37"/>
      <c r="E261" s="37"/>
      <c r="F261" s="110"/>
      <c r="G261" s="115"/>
      <c r="H261" s="115"/>
      <c r="I261" s="115"/>
      <c r="J261" s="130"/>
      <c r="K261" s="130"/>
      <c r="L261" s="130"/>
      <c r="M261" s="130"/>
      <c r="N261" s="130"/>
      <c r="O261" s="317">
        <f t="shared" si="49"/>
        <v>3500</v>
      </c>
      <c r="P261" s="59"/>
      <c r="Q261" s="59"/>
      <c r="R261" s="248"/>
      <c r="S261" s="455"/>
    </row>
    <row r="262" spans="1:19" ht="15">
      <c r="A262" s="168" t="s">
        <v>318</v>
      </c>
      <c r="B262" s="109" t="s">
        <v>193</v>
      </c>
      <c r="C262" s="110">
        <f>26682+2000+14900</f>
        <v>43582</v>
      </c>
      <c r="D262" s="37"/>
      <c r="E262" s="37"/>
      <c r="F262" s="110"/>
      <c r="G262" s="128"/>
      <c r="H262" s="115"/>
      <c r="I262" s="115">
        <v>550</v>
      </c>
      <c r="J262" s="130">
        <v>4233</v>
      </c>
      <c r="K262" s="130"/>
      <c r="L262" s="130"/>
      <c r="M262" s="130"/>
      <c r="N262" s="130"/>
      <c r="O262" s="317">
        <f t="shared" si="49"/>
        <v>48365</v>
      </c>
      <c r="P262" s="59"/>
      <c r="Q262" s="59"/>
      <c r="R262" s="248"/>
      <c r="S262" s="455"/>
    </row>
    <row r="263" spans="1:19" ht="45">
      <c r="A263" s="168" t="s">
        <v>415</v>
      </c>
      <c r="B263" s="255" t="s">
        <v>483</v>
      </c>
      <c r="C263" s="232">
        <v>13000</v>
      </c>
      <c r="D263" s="37"/>
      <c r="E263" s="37"/>
      <c r="F263" s="37"/>
      <c r="G263" s="128"/>
      <c r="H263" s="128"/>
      <c r="I263" s="128"/>
      <c r="J263" s="127"/>
      <c r="K263" s="127"/>
      <c r="L263" s="127"/>
      <c r="M263" s="127"/>
      <c r="N263" s="192"/>
      <c r="O263" s="317">
        <f t="shared" si="49"/>
        <v>13000</v>
      </c>
      <c r="P263" s="59"/>
      <c r="Q263" s="59"/>
      <c r="R263" s="248"/>
      <c r="S263" s="455"/>
    </row>
    <row r="264" spans="1:19" ht="30.75" thickBot="1">
      <c r="A264" s="183" t="s">
        <v>616</v>
      </c>
      <c r="B264" s="289" t="s">
        <v>617</v>
      </c>
      <c r="C264" s="321">
        <v>820000</v>
      </c>
      <c r="D264" s="141"/>
      <c r="E264" s="141"/>
      <c r="F264" s="141"/>
      <c r="G264" s="180"/>
      <c r="H264" s="180"/>
      <c r="I264" s="180"/>
      <c r="J264" s="191"/>
      <c r="K264" s="191"/>
      <c r="L264" s="191"/>
      <c r="M264" s="191"/>
      <c r="N264" s="191"/>
      <c r="O264" s="317">
        <f t="shared" si="49"/>
        <v>820000</v>
      </c>
      <c r="P264" s="59"/>
      <c r="Q264" s="59"/>
      <c r="R264" s="248"/>
      <c r="S264" s="455"/>
    </row>
    <row r="265" spans="1:19" ht="15.75" thickBot="1">
      <c r="A265" s="206"/>
      <c r="B265" s="207" t="s">
        <v>33</v>
      </c>
      <c r="C265" s="313">
        <f aca="true" t="shared" si="50" ref="C265:N265">C62+C74+C80+C109+C123+C145+C150+C190+C250</f>
        <v>52576360</v>
      </c>
      <c r="D265" s="122">
        <f t="shared" si="50"/>
        <v>8653222</v>
      </c>
      <c r="E265" s="122">
        <f t="shared" si="50"/>
        <v>1568105</v>
      </c>
      <c r="F265" s="122">
        <f t="shared" si="50"/>
        <v>358732</v>
      </c>
      <c r="G265" s="103">
        <f t="shared" si="50"/>
        <v>2280722</v>
      </c>
      <c r="H265" s="103">
        <f t="shared" si="50"/>
        <v>801508</v>
      </c>
      <c r="I265" s="103">
        <f t="shared" si="50"/>
        <v>1023475</v>
      </c>
      <c r="J265" s="122">
        <f t="shared" si="50"/>
        <v>2826075</v>
      </c>
      <c r="K265" s="122">
        <f t="shared" si="50"/>
        <v>251522</v>
      </c>
      <c r="L265" s="122">
        <f t="shared" si="50"/>
        <v>300642</v>
      </c>
      <c r="M265" s="122">
        <f t="shared" si="50"/>
        <v>321834</v>
      </c>
      <c r="N265" s="122">
        <f t="shared" si="50"/>
        <v>973702</v>
      </c>
      <c r="O265" s="302">
        <f t="shared" si="49"/>
        <v>71935899</v>
      </c>
      <c r="P265" s="59"/>
      <c r="Q265" s="59"/>
      <c r="R265" s="248"/>
      <c r="S265" s="455"/>
    </row>
    <row r="266" spans="1:19" ht="15">
      <c r="A266" s="154" t="s">
        <v>196</v>
      </c>
      <c r="B266" s="208" t="s">
        <v>416</v>
      </c>
      <c r="C266" s="209">
        <f>1863420+1948570+622918</f>
        <v>4434908</v>
      </c>
      <c r="D266" s="209"/>
      <c r="E266" s="209"/>
      <c r="F266" s="209">
        <v>7444</v>
      </c>
      <c r="G266" s="209">
        <v>12638</v>
      </c>
      <c r="H266" s="209">
        <v>8645</v>
      </c>
      <c r="I266" s="209">
        <f>13356+3339</f>
        <v>16695</v>
      </c>
      <c r="J266" s="209">
        <v>40004</v>
      </c>
      <c r="K266" s="104"/>
      <c r="L266" s="209">
        <v>4269</v>
      </c>
      <c r="M266" s="209">
        <v>8241</v>
      </c>
      <c r="N266" s="209">
        <v>25753</v>
      </c>
      <c r="O266" s="59">
        <f t="shared" si="49"/>
        <v>4558597</v>
      </c>
      <c r="P266" s="59"/>
      <c r="Q266" s="59"/>
      <c r="R266" s="97"/>
      <c r="S266" s="455"/>
    </row>
    <row r="267" spans="1:18" ht="15">
      <c r="A267" s="154" t="s">
        <v>668</v>
      </c>
      <c r="B267" s="208" t="s">
        <v>669</v>
      </c>
      <c r="C267" s="209"/>
      <c r="D267" s="209">
        <v>689685</v>
      </c>
      <c r="E267" s="209"/>
      <c r="F267" s="59"/>
      <c r="H267" s="94"/>
      <c r="I267" s="94"/>
      <c r="J267" s="94"/>
      <c r="L267" s="94"/>
      <c r="N267" s="94"/>
      <c r="O267" s="59">
        <f t="shared" si="49"/>
        <v>689685</v>
      </c>
      <c r="P267" s="59"/>
      <c r="Q267" s="59"/>
      <c r="R267" s="97"/>
    </row>
    <row r="268" spans="1:18" ht="29.25">
      <c r="A268" s="154" t="s">
        <v>618</v>
      </c>
      <c r="B268" s="450" t="s">
        <v>555</v>
      </c>
      <c r="C268" s="209">
        <v>60000</v>
      </c>
      <c r="D268" s="209"/>
      <c r="E268" s="209"/>
      <c r="F268" s="59"/>
      <c r="H268" s="94"/>
      <c r="I268" s="94"/>
      <c r="J268" s="94"/>
      <c r="L268" s="94"/>
      <c r="N268" s="94"/>
      <c r="O268" s="59">
        <f t="shared" si="49"/>
        <v>60000</v>
      </c>
      <c r="P268" s="59"/>
      <c r="Q268" s="59"/>
      <c r="R268" s="97"/>
    </row>
    <row r="269" spans="1:18" ht="29.25">
      <c r="A269" s="154" t="s">
        <v>618</v>
      </c>
      <c r="B269" s="450" t="s">
        <v>663</v>
      </c>
      <c r="C269" s="209">
        <f>78000</f>
        <v>78000</v>
      </c>
      <c r="D269" s="104"/>
      <c r="E269" s="104"/>
      <c r="F269" s="46"/>
      <c r="O269" s="59">
        <f t="shared" si="49"/>
        <v>78000</v>
      </c>
      <c r="P269" s="59"/>
      <c r="Q269" s="59"/>
      <c r="R269" s="97"/>
    </row>
    <row r="270" spans="1:18" ht="30">
      <c r="A270" s="29" t="s">
        <v>369</v>
      </c>
      <c r="B270" s="20" t="s">
        <v>417</v>
      </c>
      <c r="C270" s="104">
        <f>940000-51048</f>
        <v>888952</v>
      </c>
      <c r="D270" s="104">
        <f>1143781-959784</f>
        <v>183997</v>
      </c>
      <c r="E270" s="104"/>
      <c r="F270" s="46">
        <v>35099</v>
      </c>
      <c r="G270" s="91">
        <f>21752+1099</f>
        <v>22851</v>
      </c>
      <c r="H270" s="91">
        <f>14560+914</f>
        <v>15474</v>
      </c>
      <c r="J270" s="91">
        <v>75396</v>
      </c>
      <c r="K270" s="91">
        <f>645+124</f>
        <v>769</v>
      </c>
      <c r="L270" s="91">
        <v>102</v>
      </c>
      <c r="N270" s="91">
        <f>10424+213</f>
        <v>10637</v>
      </c>
      <c r="O270" s="59">
        <f t="shared" si="49"/>
        <v>1233277</v>
      </c>
      <c r="P270" s="59"/>
      <c r="Q270" s="59"/>
      <c r="R270" s="97"/>
    </row>
    <row r="271" spans="1:22" ht="30">
      <c r="A271" s="210" t="s">
        <v>319</v>
      </c>
      <c r="B271" s="471" t="s">
        <v>320</v>
      </c>
      <c r="C271" s="59">
        <f aca="true" t="shared" si="51" ref="C271:N271">C48-C265-C266-C267-C268-C269-C270</f>
        <v>9646504</v>
      </c>
      <c r="D271" s="59">
        <f>D48-D265-D266-D267-D268-D269-D270</f>
        <v>-1727168</v>
      </c>
      <c r="E271" s="59">
        <f t="shared" si="51"/>
        <v>-1284818</v>
      </c>
      <c r="F271" s="59">
        <f t="shared" si="51"/>
        <v>-115700</v>
      </c>
      <c r="G271" s="59">
        <f t="shared" si="51"/>
        <v>-1942884</v>
      </c>
      <c r="H271" s="59">
        <f t="shared" si="51"/>
        <v>-468377</v>
      </c>
      <c r="I271" s="59">
        <f t="shared" si="51"/>
        <v>-730391</v>
      </c>
      <c r="J271" s="59">
        <f t="shared" si="51"/>
        <v>-1886223</v>
      </c>
      <c r="K271" s="59">
        <f t="shared" si="51"/>
        <v>-153191</v>
      </c>
      <c r="L271" s="59">
        <f t="shared" si="51"/>
        <v>-224609</v>
      </c>
      <c r="M271" s="59">
        <f t="shared" si="51"/>
        <v>-250834</v>
      </c>
      <c r="N271" s="59">
        <f t="shared" si="51"/>
        <v>-862309</v>
      </c>
      <c r="O271" s="59">
        <f t="shared" si="49"/>
        <v>0</v>
      </c>
      <c r="P271" s="59"/>
      <c r="Q271" s="59"/>
      <c r="R271" s="97"/>
      <c r="U271" s="93"/>
      <c r="V271" s="59"/>
    </row>
    <row r="272" spans="1:22" ht="15">
      <c r="A272" s="210"/>
      <c r="B272" s="514"/>
      <c r="C272" s="515"/>
      <c r="D272" s="515"/>
      <c r="E272" s="59"/>
      <c r="F272" s="59"/>
      <c r="G272" s="59"/>
      <c r="H272" s="59"/>
      <c r="I272" s="59"/>
      <c r="J272" s="59"/>
      <c r="K272" s="59"/>
      <c r="L272" s="59"/>
      <c r="M272" s="59"/>
      <c r="N272" s="59"/>
      <c r="O272" s="59"/>
      <c r="P272" s="59"/>
      <c r="Q272" s="59"/>
      <c r="R272" s="97"/>
      <c r="U272" s="93"/>
      <c r="V272" s="59"/>
    </row>
    <row r="273" spans="2:26" s="338" customFormat="1" ht="15">
      <c r="B273" s="339"/>
      <c r="C273" s="340"/>
      <c r="D273" s="340"/>
      <c r="E273" s="340"/>
      <c r="F273" s="340"/>
      <c r="G273" s="340"/>
      <c r="H273" s="340"/>
      <c r="I273" s="340"/>
      <c r="J273" s="340"/>
      <c r="K273" s="340"/>
      <c r="L273" s="340"/>
      <c r="M273" s="340"/>
      <c r="N273" s="340"/>
      <c r="O273" s="341"/>
      <c r="P273" s="341"/>
      <c r="Q273" s="341"/>
      <c r="S273" s="472"/>
      <c r="U273" s="91"/>
      <c r="V273" s="91"/>
      <c r="W273" s="91"/>
      <c r="X273" s="91"/>
      <c r="Y273" s="91"/>
      <c r="Z273" s="91"/>
    </row>
    <row r="274" spans="2:17" ht="15">
      <c r="B274" s="158" t="s">
        <v>365</v>
      </c>
      <c r="D274" s="93" t="s">
        <v>35</v>
      </c>
      <c r="O274" s="209">
        <f>O271-O33</f>
        <v>0</v>
      </c>
      <c r="P274" s="211"/>
      <c r="Q274" s="211"/>
    </row>
    <row r="275" spans="1:17" ht="15">
      <c r="A275" s="97"/>
      <c r="B275" s="160"/>
      <c r="C275" s="59"/>
      <c r="D275" s="59"/>
      <c r="E275" s="59"/>
      <c r="F275" s="59"/>
      <c r="G275" s="337"/>
      <c r="H275" s="337"/>
      <c r="I275" s="337"/>
      <c r="J275" s="337"/>
      <c r="K275" s="337"/>
      <c r="L275" s="337"/>
      <c r="M275" s="337"/>
      <c r="N275" s="337"/>
      <c r="O275" s="46"/>
      <c r="P275" s="46"/>
      <c r="Q275" s="46"/>
    </row>
    <row r="276" spans="2:17" ht="15">
      <c r="B276" s="158"/>
      <c r="D276" s="104"/>
      <c r="E276" s="104"/>
      <c r="F276" s="104"/>
      <c r="G276" s="104"/>
      <c r="H276" s="104"/>
      <c r="I276" s="104"/>
      <c r="J276" s="104"/>
      <c r="K276" s="104"/>
      <c r="L276" s="104"/>
      <c r="M276" s="104"/>
      <c r="N276" s="104"/>
      <c r="O276" s="104"/>
      <c r="P276" s="104"/>
      <c r="Q276" s="104"/>
    </row>
    <row r="277" spans="1:6" ht="44.25" customHeight="1" thickBot="1">
      <c r="A277" s="550" t="s">
        <v>619</v>
      </c>
      <c r="B277" s="550"/>
      <c r="C277" s="550"/>
      <c r="D277" s="550"/>
      <c r="E277" s="104"/>
      <c r="F277" s="104"/>
    </row>
    <row r="278" spans="1:17" ht="105.75" customHeight="1" thickBot="1">
      <c r="A278" s="98" t="s">
        <v>22</v>
      </c>
      <c r="B278" s="99" t="s">
        <v>163</v>
      </c>
      <c r="C278" s="219" t="s">
        <v>559</v>
      </c>
      <c r="D278" s="530" t="s">
        <v>664</v>
      </c>
      <c r="E278" s="531" t="s">
        <v>560</v>
      </c>
      <c r="F278" s="531" t="s">
        <v>561</v>
      </c>
      <c r="G278" s="532" t="s">
        <v>562</v>
      </c>
      <c r="H278" s="452" t="s">
        <v>563</v>
      </c>
      <c r="I278" s="452" t="s">
        <v>564</v>
      </c>
      <c r="J278" s="452" t="s">
        <v>565</v>
      </c>
      <c r="K278" s="452" t="s">
        <v>566</v>
      </c>
      <c r="L278" s="452" t="s">
        <v>567</v>
      </c>
      <c r="M278" s="452" t="s">
        <v>568</v>
      </c>
      <c r="N278" s="453" t="s">
        <v>569</v>
      </c>
      <c r="O278" s="454" t="s">
        <v>570</v>
      </c>
      <c r="P278" s="477"/>
      <c r="Q278" s="92"/>
    </row>
    <row r="279" spans="1:17" ht="15">
      <c r="A279" s="212">
        <v>1100</v>
      </c>
      <c r="B279" s="134" t="s">
        <v>218</v>
      </c>
      <c r="C279" s="256">
        <f>10434460+111945+1000+1556386</f>
        <v>12103791</v>
      </c>
      <c r="D279" s="456">
        <v>2017817</v>
      </c>
      <c r="E279" s="456">
        <v>640459</v>
      </c>
      <c r="F279" s="456">
        <v>69007</v>
      </c>
      <c r="G279" s="533">
        <f>1229457+4835</f>
        <v>1234292</v>
      </c>
      <c r="H279" s="501">
        <f>SUM('[1]Izmaksas PB pa lielajiem EKK'!$D$4)</f>
        <v>291365</v>
      </c>
      <c r="I279" s="473">
        <v>430590</v>
      </c>
      <c r="J279" s="473">
        <v>1416912</v>
      </c>
      <c r="K279" s="213">
        <v>92825</v>
      </c>
      <c r="L279" s="473">
        <v>131858</v>
      </c>
      <c r="M279" s="213">
        <v>158303</v>
      </c>
      <c r="N279" s="473">
        <v>542070</v>
      </c>
      <c r="O279" s="325">
        <f aca="true" t="shared" si="52" ref="O279:O301">SUM(C279:N279)</f>
        <v>19129289</v>
      </c>
      <c r="P279" s="59"/>
      <c r="Q279" s="59"/>
    </row>
    <row r="280" spans="1:17" ht="45">
      <c r="A280" s="138">
        <v>1200</v>
      </c>
      <c r="B280" s="109" t="s">
        <v>321</v>
      </c>
      <c r="C280" s="37">
        <f>3155345+35792+240+375186</f>
        <v>3566563</v>
      </c>
      <c r="D280" s="424">
        <v>470894</v>
      </c>
      <c r="E280" s="424">
        <v>188042</v>
      </c>
      <c r="F280" s="424">
        <v>20676</v>
      </c>
      <c r="G280" s="534">
        <f>355225+1165</f>
        <v>356390</v>
      </c>
      <c r="H280" s="502">
        <f>SUM('[1]Izmaksas PB pa lielajiem EKK'!$D$5)</f>
        <v>85687</v>
      </c>
      <c r="I280" s="127">
        <v>130453</v>
      </c>
      <c r="J280" s="192">
        <v>419820</v>
      </c>
      <c r="K280" s="169">
        <v>26062</v>
      </c>
      <c r="L280" s="192">
        <v>39690</v>
      </c>
      <c r="M280" s="127">
        <v>45474</v>
      </c>
      <c r="N280" s="474">
        <v>172138</v>
      </c>
      <c r="O280" s="342">
        <f t="shared" si="52"/>
        <v>5521889</v>
      </c>
      <c r="P280" s="353"/>
      <c r="Q280" s="59"/>
    </row>
    <row r="281" spans="1:17" ht="15">
      <c r="A281" s="138">
        <v>2000</v>
      </c>
      <c r="B281" s="109" t="s">
        <v>197</v>
      </c>
      <c r="C281" s="37">
        <f>SUM(C282:C287)</f>
        <v>6511031</v>
      </c>
      <c r="D281" s="424">
        <f>SUM(D282:D287)</f>
        <v>5725718</v>
      </c>
      <c r="E281" s="424">
        <f>SUM(E282:E287)</f>
        <v>530201</v>
      </c>
      <c r="F281" s="424">
        <f>SUM(F282:F287)</f>
        <v>262730</v>
      </c>
      <c r="G281" s="424">
        <f>SUM(G282:G287)</f>
        <v>564930</v>
      </c>
      <c r="H281" s="192">
        <f>SUM(H282:H286)</f>
        <v>359969</v>
      </c>
      <c r="I281" s="127">
        <f aca="true" t="shared" si="53" ref="I281:N281">SUM(I282:I287)</f>
        <v>385600</v>
      </c>
      <c r="J281" s="192">
        <f t="shared" si="53"/>
        <v>816251</v>
      </c>
      <c r="K281" s="169">
        <f t="shared" si="53"/>
        <v>91762</v>
      </c>
      <c r="L281" s="192">
        <f t="shared" si="53"/>
        <v>73010</v>
      </c>
      <c r="M281" s="127">
        <f t="shared" si="53"/>
        <v>82979</v>
      </c>
      <c r="N281" s="192">
        <f t="shared" si="53"/>
        <v>181987</v>
      </c>
      <c r="O281" s="342">
        <f t="shared" si="52"/>
        <v>15586168</v>
      </c>
      <c r="P281" s="353"/>
      <c r="Q281" s="59"/>
    </row>
    <row r="282" spans="1:17" ht="30">
      <c r="A282" s="138">
        <v>2100</v>
      </c>
      <c r="B282" s="109" t="s">
        <v>397</v>
      </c>
      <c r="C282" s="37">
        <f>53768+12630+2638</f>
        <v>69036</v>
      </c>
      <c r="D282" s="424">
        <v>1000</v>
      </c>
      <c r="E282" s="424">
        <v>80</v>
      </c>
      <c r="F282" s="424"/>
      <c r="G282" s="535">
        <v>850</v>
      </c>
      <c r="H282" s="503">
        <v>1235</v>
      </c>
      <c r="I282" s="127">
        <v>266</v>
      </c>
      <c r="J282" s="192">
        <f>1016+72</f>
        <v>1088</v>
      </c>
      <c r="K282" s="169"/>
      <c r="L282" s="192">
        <v>80</v>
      </c>
      <c r="M282" s="231">
        <v>1150</v>
      </c>
      <c r="N282" s="192">
        <v>570</v>
      </c>
      <c r="O282" s="342">
        <f t="shared" si="52"/>
        <v>75355</v>
      </c>
      <c r="P282" s="353"/>
      <c r="Q282" s="59"/>
    </row>
    <row r="283" spans="1:17" ht="15">
      <c r="A283" s="138">
        <v>2200</v>
      </c>
      <c r="B283" s="109" t="s">
        <v>199</v>
      </c>
      <c r="C283" s="424">
        <f>5438408-465486+1534-2000-2840-47667-14900-6000</f>
        <v>4901049</v>
      </c>
      <c r="D283" s="424">
        <f>4019507-5685</f>
        <v>4013822</v>
      </c>
      <c r="E283" s="424">
        <v>334301</v>
      </c>
      <c r="F283" s="424">
        <v>243459</v>
      </c>
      <c r="G283" s="535">
        <v>308872</v>
      </c>
      <c r="H283" s="503">
        <f>206074+4290</f>
        <v>210364</v>
      </c>
      <c r="I283" s="127">
        <v>242415</v>
      </c>
      <c r="J283" s="474">
        <v>502654</v>
      </c>
      <c r="K283" s="169">
        <v>62973</v>
      </c>
      <c r="L283" s="192">
        <v>39929</v>
      </c>
      <c r="M283" s="231">
        <f>57717-158</f>
        <v>57559</v>
      </c>
      <c r="N283" s="192">
        <v>66406</v>
      </c>
      <c r="O283" s="342">
        <f t="shared" si="52"/>
        <v>10983803</v>
      </c>
      <c r="P283" s="353"/>
      <c r="Q283" s="59"/>
    </row>
    <row r="284" spans="1:17" ht="30">
      <c r="A284" s="138">
        <v>2300</v>
      </c>
      <c r="B284" s="109" t="s">
        <v>200</v>
      </c>
      <c r="C284" s="37">
        <f>1220111+206387+2000+1600-95325+39303</f>
        <v>1374076</v>
      </c>
      <c r="D284" s="424">
        <v>1333619</v>
      </c>
      <c r="E284" s="424">
        <v>191820</v>
      </c>
      <c r="F284" s="424">
        <v>11193</v>
      </c>
      <c r="G284" s="535">
        <v>251573</v>
      </c>
      <c r="H284" s="503">
        <v>138370</v>
      </c>
      <c r="I284" s="127">
        <v>133779</v>
      </c>
      <c r="J284" s="474">
        <f>293224+862</f>
        <v>294086</v>
      </c>
      <c r="K284" s="169">
        <v>26219</v>
      </c>
      <c r="L284" s="192">
        <v>31181</v>
      </c>
      <c r="M284" s="231">
        <v>22670</v>
      </c>
      <c r="N284" s="192">
        <v>102338</v>
      </c>
      <c r="O284" s="342">
        <f t="shared" si="52"/>
        <v>3910924</v>
      </c>
      <c r="P284" s="353"/>
      <c r="Q284" s="59"/>
    </row>
    <row r="285" spans="1:17" ht="15">
      <c r="A285" s="138">
        <v>2400</v>
      </c>
      <c r="B285" s="109" t="s">
        <v>201</v>
      </c>
      <c r="C285" s="37">
        <v>5270</v>
      </c>
      <c r="D285" s="424"/>
      <c r="E285" s="424"/>
      <c r="F285" s="424"/>
      <c r="G285" s="535">
        <v>2135</v>
      </c>
      <c r="H285" s="503">
        <f>SUM('[1]Izmaksas PB pa lielajiem EKK'!$D$10)</f>
        <v>950</v>
      </c>
      <c r="I285" s="127">
        <v>500</v>
      </c>
      <c r="J285" s="192">
        <v>1550</v>
      </c>
      <c r="K285" s="169">
        <v>820</v>
      </c>
      <c r="L285" s="192">
        <v>550</v>
      </c>
      <c r="M285" s="127">
        <v>900</v>
      </c>
      <c r="N285" s="192">
        <v>2580</v>
      </c>
      <c r="O285" s="342">
        <f t="shared" si="52"/>
        <v>15255</v>
      </c>
      <c r="P285" s="353"/>
      <c r="Q285" s="59"/>
    </row>
    <row r="286" spans="1:17" ht="15">
      <c r="A286" s="138">
        <v>2500</v>
      </c>
      <c r="B286" s="109" t="s">
        <v>202</v>
      </c>
      <c r="C286" s="37">
        <f>37000-800-2000</f>
        <v>34200</v>
      </c>
      <c r="D286" s="424">
        <v>377277</v>
      </c>
      <c r="E286" s="424">
        <v>4000</v>
      </c>
      <c r="F286" s="424">
        <v>8078</v>
      </c>
      <c r="G286" s="535">
        <v>1500</v>
      </c>
      <c r="H286" s="503">
        <v>9050</v>
      </c>
      <c r="I286" s="127">
        <v>8640</v>
      </c>
      <c r="J286" s="192">
        <v>16873</v>
      </c>
      <c r="K286" s="169">
        <v>1750</v>
      </c>
      <c r="L286" s="192">
        <v>1270</v>
      </c>
      <c r="M286" s="127">
        <v>700</v>
      </c>
      <c r="N286" s="192">
        <v>10093</v>
      </c>
      <c r="O286" s="342">
        <f t="shared" si="52"/>
        <v>473431</v>
      </c>
      <c r="P286" s="353"/>
      <c r="Q286" s="59"/>
    </row>
    <row r="287" spans="1:17" ht="45">
      <c r="A287" s="138">
        <v>2800</v>
      </c>
      <c r="B287" s="109" t="s">
        <v>322</v>
      </c>
      <c r="C287" s="37">
        <f>127400</f>
        <v>127400</v>
      </c>
      <c r="D287" s="37"/>
      <c r="E287" s="37"/>
      <c r="F287" s="37"/>
      <c r="G287" s="295">
        <v>0</v>
      </c>
      <c r="H287" s="192"/>
      <c r="I287" s="127"/>
      <c r="J287" s="192"/>
      <c r="K287" s="169"/>
      <c r="L287" s="192"/>
      <c r="M287" s="127"/>
      <c r="N287" s="192"/>
      <c r="O287" s="342">
        <f t="shared" si="52"/>
        <v>127400</v>
      </c>
      <c r="P287" s="353"/>
      <c r="Q287" s="59"/>
    </row>
    <row r="288" spans="1:17" ht="30">
      <c r="A288" s="138">
        <v>3200</v>
      </c>
      <c r="B288" s="109" t="s">
        <v>323</v>
      </c>
      <c r="C288" s="37">
        <f>128338+681899+95325-62461+4746+14900</f>
        <v>862747</v>
      </c>
      <c r="D288" s="37"/>
      <c r="E288" s="37"/>
      <c r="F288" s="37"/>
      <c r="G288" s="295">
        <v>0</v>
      </c>
      <c r="H288" s="192"/>
      <c r="I288" s="127"/>
      <c r="J288" s="192"/>
      <c r="K288" s="169"/>
      <c r="L288" s="192"/>
      <c r="M288" s="127"/>
      <c r="N288" s="192"/>
      <c r="O288" s="342">
        <f t="shared" si="52"/>
        <v>862747</v>
      </c>
      <c r="P288" s="353"/>
      <c r="Q288" s="59"/>
    </row>
    <row r="289" spans="1:17" ht="15">
      <c r="A289" s="138">
        <v>4200</v>
      </c>
      <c r="B289" s="109" t="s">
        <v>451</v>
      </c>
      <c r="C289" s="37"/>
      <c r="D289" s="37"/>
      <c r="E289" s="37"/>
      <c r="F289" s="37"/>
      <c r="G289" s="295">
        <v>0</v>
      </c>
      <c r="H289" s="192"/>
      <c r="I289" s="127"/>
      <c r="J289" s="192"/>
      <c r="K289" s="169"/>
      <c r="L289" s="192"/>
      <c r="M289" s="127"/>
      <c r="N289" s="192"/>
      <c r="O289" s="342">
        <f t="shared" si="52"/>
        <v>0</v>
      </c>
      <c r="P289" s="353"/>
      <c r="Q289" s="59"/>
    </row>
    <row r="290" spans="1:17" ht="15">
      <c r="A290" s="138">
        <v>4300</v>
      </c>
      <c r="B290" s="109" t="s">
        <v>203</v>
      </c>
      <c r="C290" s="37">
        <v>44530</v>
      </c>
      <c r="D290" s="37"/>
      <c r="E290" s="37"/>
      <c r="F290" s="37">
        <f>102-102</f>
        <v>0</v>
      </c>
      <c r="G290" s="295">
        <v>700</v>
      </c>
      <c r="H290" s="503">
        <f>SUM('[1]Izmaksas PB pa lielajiem EKK'!$D$14)</f>
        <v>100</v>
      </c>
      <c r="I290" s="127">
        <v>12</v>
      </c>
      <c r="J290" s="192">
        <v>207</v>
      </c>
      <c r="K290" s="169"/>
      <c r="L290" s="192">
        <v>80</v>
      </c>
      <c r="M290" s="127">
        <v>170</v>
      </c>
      <c r="N290" s="192">
        <v>100</v>
      </c>
      <c r="O290" s="342">
        <f t="shared" si="52"/>
        <v>45899</v>
      </c>
      <c r="P290" s="353"/>
      <c r="Q290" s="59"/>
    </row>
    <row r="291" spans="1:17" ht="15">
      <c r="A291" s="138">
        <v>5100</v>
      </c>
      <c r="B291" s="109" t="s">
        <v>153</v>
      </c>
      <c r="C291" s="37">
        <f>8750+16816-350</f>
        <v>25216</v>
      </c>
      <c r="D291" s="37"/>
      <c r="E291" s="37"/>
      <c r="F291" s="37"/>
      <c r="G291" s="295">
        <v>210</v>
      </c>
      <c r="H291" s="503">
        <f>SUM('[1]Izmaksas PB pa lielajiem EKK'!$D$15)</f>
        <v>750</v>
      </c>
      <c r="I291" s="127"/>
      <c r="J291" s="192">
        <v>1083</v>
      </c>
      <c r="K291" s="169"/>
      <c r="L291" s="192"/>
      <c r="M291" s="127"/>
      <c r="N291" s="192"/>
      <c r="O291" s="342">
        <f t="shared" si="52"/>
        <v>27259</v>
      </c>
      <c r="P291" s="353"/>
      <c r="Q291" s="59"/>
    </row>
    <row r="292" spans="1:17" ht="15">
      <c r="A292" s="138">
        <v>5200</v>
      </c>
      <c r="B292" s="109" t="s">
        <v>204</v>
      </c>
      <c r="C292" s="37">
        <f>27219469+292321-1534-15539+120813</f>
        <v>27615530</v>
      </c>
      <c r="D292" s="37">
        <v>438793</v>
      </c>
      <c r="E292" s="37">
        <v>209403</v>
      </c>
      <c r="F292" s="37">
        <v>6319</v>
      </c>
      <c r="G292" s="295">
        <v>40221</v>
      </c>
      <c r="H292" s="503">
        <v>11490</v>
      </c>
      <c r="I292" s="127">
        <v>17228</v>
      </c>
      <c r="J292" s="192">
        <v>107576</v>
      </c>
      <c r="K292" s="169">
        <v>7900</v>
      </c>
      <c r="L292" s="192">
        <v>32218</v>
      </c>
      <c r="M292" s="127">
        <v>11208</v>
      </c>
      <c r="N292" s="192">
        <v>24500</v>
      </c>
      <c r="O292" s="342">
        <f t="shared" si="52"/>
        <v>28522386</v>
      </c>
      <c r="P292" s="353"/>
      <c r="Q292" s="59"/>
    </row>
    <row r="293" spans="1:17" ht="15">
      <c r="A293" s="138">
        <v>6200</v>
      </c>
      <c r="B293" s="109" t="s">
        <v>205</v>
      </c>
      <c r="C293" s="37">
        <f>319287+11612+1900</f>
        <v>332799</v>
      </c>
      <c r="D293" s="37"/>
      <c r="E293" s="37"/>
      <c r="F293" s="37"/>
      <c r="G293" s="295">
        <v>51311</v>
      </c>
      <c r="H293" s="503">
        <f>SUM('[1]Izmaksas PB pa lielajiem EKK'!$D$18)</f>
        <v>28016</v>
      </c>
      <c r="I293" s="127">
        <v>29126</v>
      </c>
      <c r="J293" s="192">
        <v>23480</v>
      </c>
      <c r="K293" s="169">
        <v>28184</v>
      </c>
      <c r="L293" s="192">
        <v>17545</v>
      </c>
      <c r="M293" s="127">
        <v>18970</v>
      </c>
      <c r="N293" s="192">
        <v>20808</v>
      </c>
      <c r="O293" s="342">
        <f t="shared" si="52"/>
        <v>550239</v>
      </c>
      <c r="P293" s="353"/>
      <c r="Q293" s="59"/>
    </row>
    <row r="294" spans="1:17" ht="15">
      <c r="A294" s="138">
        <v>6300</v>
      </c>
      <c r="B294" s="109" t="s">
        <v>206</v>
      </c>
      <c r="C294" s="37">
        <f>267000+20200</f>
        <v>287200</v>
      </c>
      <c r="D294" s="37"/>
      <c r="E294" s="37"/>
      <c r="F294" s="37"/>
      <c r="G294" s="295">
        <v>10000</v>
      </c>
      <c r="H294" s="503">
        <f>SUM('[1]Izmaksas PB pa lielajiem EKK'!$D$19)</f>
        <v>5500</v>
      </c>
      <c r="I294" s="127">
        <v>2460</v>
      </c>
      <c r="J294" s="192">
        <v>10300</v>
      </c>
      <c r="K294" s="169">
        <v>350</v>
      </c>
      <c r="L294" s="192">
        <v>400</v>
      </c>
      <c r="M294" s="127"/>
      <c r="N294" s="192">
        <v>6500</v>
      </c>
      <c r="O294" s="342">
        <f t="shared" si="52"/>
        <v>322710</v>
      </c>
      <c r="P294" s="353"/>
      <c r="Q294" s="59"/>
    </row>
    <row r="295" spans="1:17" ht="30">
      <c r="A295" s="138">
        <v>6400</v>
      </c>
      <c r="B295" s="109" t="s">
        <v>324</v>
      </c>
      <c r="C295" s="37">
        <f>540338-20200</f>
        <v>520138</v>
      </c>
      <c r="D295" s="37"/>
      <c r="E295" s="37"/>
      <c r="F295" s="37"/>
      <c r="G295" s="295">
        <v>19986</v>
      </c>
      <c r="H295" s="503">
        <f>SUM('[1]Izmaksas PB pa lielajiem EKK'!$D$20)</f>
        <v>10735</v>
      </c>
      <c r="I295" s="127">
        <v>9567</v>
      </c>
      <c r="J295" s="192">
        <f>16606-200</f>
        <v>16406</v>
      </c>
      <c r="K295" s="169">
        <v>939</v>
      </c>
      <c r="L295" s="192">
        <v>5841</v>
      </c>
      <c r="M295" s="127">
        <v>1950</v>
      </c>
      <c r="N295" s="192">
        <v>13686</v>
      </c>
      <c r="O295" s="342">
        <f t="shared" si="52"/>
        <v>599248</v>
      </c>
      <c r="P295" s="353"/>
      <c r="Q295" s="59"/>
    </row>
    <row r="296" spans="1:17" ht="30">
      <c r="A296" s="138">
        <v>6500</v>
      </c>
      <c r="B296" s="109" t="s">
        <v>398</v>
      </c>
      <c r="C296" s="37"/>
      <c r="D296" s="37"/>
      <c r="E296" s="37"/>
      <c r="F296" s="37"/>
      <c r="G296" s="295"/>
      <c r="H296" s="192"/>
      <c r="I296" s="127"/>
      <c r="J296" s="192"/>
      <c r="K296" s="169"/>
      <c r="L296" s="37"/>
      <c r="M296" s="127"/>
      <c r="N296" s="192"/>
      <c r="O296" s="342">
        <f t="shared" si="52"/>
        <v>0</v>
      </c>
      <c r="P296" s="353"/>
      <c r="Q296" s="59"/>
    </row>
    <row r="297" spans="1:17" ht="15">
      <c r="A297" s="138">
        <v>7200</v>
      </c>
      <c r="B297" s="109" t="s">
        <v>325</v>
      </c>
      <c r="C297" s="37">
        <f>715000-8641</f>
        <v>706359</v>
      </c>
      <c r="D297" s="37"/>
      <c r="E297" s="37"/>
      <c r="F297" s="37"/>
      <c r="G297" s="295">
        <v>2682</v>
      </c>
      <c r="H297" s="192">
        <v>7896</v>
      </c>
      <c r="I297" s="127">
        <v>18439</v>
      </c>
      <c r="J297" s="192">
        <v>14040</v>
      </c>
      <c r="K297" s="169">
        <v>3500</v>
      </c>
      <c r="L297" s="37"/>
      <c r="M297" s="37">
        <v>2780</v>
      </c>
      <c r="N297" s="192">
        <v>11913</v>
      </c>
      <c r="O297" s="342">
        <f t="shared" si="52"/>
        <v>767609</v>
      </c>
      <c r="P297" s="353"/>
      <c r="Q297" s="59"/>
    </row>
    <row r="298" spans="1:17" ht="15">
      <c r="A298" s="138">
        <v>7700</v>
      </c>
      <c r="B298" s="109" t="s">
        <v>553</v>
      </c>
      <c r="C298" s="37"/>
      <c r="D298" s="37"/>
      <c r="E298" s="37"/>
      <c r="F298" s="37"/>
      <c r="G298" s="295"/>
      <c r="H298" s="192"/>
      <c r="I298" s="127"/>
      <c r="J298" s="37"/>
      <c r="K298" s="111"/>
      <c r="L298" s="37"/>
      <c r="M298" s="37"/>
      <c r="N298" s="111"/>
      <c r="O298" s="342">
        <f t="shared" si="52"/>
        <v>0</v>
      </c>
      <c r="P298" s="353"/>
      <c r="Q298" s="59"/>
    </row>
    <row r="299" spans="1:17" ht="15">
      <c r="A299" s="138">
        <v>8100</v>
      </c>
      <c r="B299" s="127" t="s">
        <v>452</v>
      </c>
      <c r="C299" s="37"/>
      <c r="D299" s="37"/>
      <c r="E299" s="37"/>
      <c r="F299" s="37"/>
      <c r="G299" s="295"/>
      <c r="H299" s="504"/>
      <c r="I299" s="127"/>
      <c r="J299" s="37"/>
      <c r="K299" s="111"/>
      <c r="L299" s="37"/>
      <c r="M299" s="37"/>
      <c r="N299" s="111"/>
      <c r="O299" s="342">
        <f t="shared" si="52"/>
        <v>0</v>
      </c>
      <c r="P299" s="353"/>
      <c r="Q299" s="59"/>
    </row>
    <row r="300" spans="1:17" ht="15.75" thickBot="1">
      <c r="A300" s="131">
        <v>9200</v>
      </c>
      <c r="B300" s="236" t="s">
        <v>666</v>
      </c>
      <c r="C300" s="135">
        <v>456</v>
      </c>
      <c r="D300" s="135"/>
      <c r="E300" s="135"/>
      <c r="F300" s="135"/>
      <c r="G300" s="296"/>
      <c r="H300" s="505"/>
      <c r="I300" s="506"/>
      <c r="J300" s="507"/>
      <c r="K300" s="135"/>
      <c r="L300" s="135"/>
      <c r="M300" s="135"/>
      <c r="N300" s="225"/>
      <c r="O300" s="342">
        <f t="shared" si="52"/>
        <v>456</v>
      </c>
      <c r="P300" s="353"/>
      <c r="Q300" s="59"/>
    </row>
    <row r="301" spans="1:17" ht="15.75" thickBot="1">
      <c r="A301" s="206"/>
      <c r="B301" s="214" t="s">
        <v>207</v>
      </c>
      <c r="C301" s="237">
        <f>SUM(C279:C281,C288:C300)</f>
        <v>52576360</v>
      </c>
      <c r="D301" s="237">
        <f aca="true" t="shared" si="54" ref="D301:N301">SUM(D279:D281,D288:D300)</f>
        <v>8653222</v>
      </c>
      <c r="E301" s="237">
        <f t="shared" si="54"/>
        <v>1568105</v>
      </c>
      <c r="F301" s="237">
        <f t="shared" si="54"/>
        <v>358732</v>
      </c>
      <c r="G301" s="237">
        <f t="shared" si="54"/>
        <v>2280722</v>
      </c>
      <c r="H301" s="237">
        <f t="shared" si="54"/>
        <v>801508</v>
      </c>
      <c r="I301" s="508">
        <f t="shared" si="54"/>
        <v>1023475</v>
      </c>
      <c r="J301" s="237">
        <f t="shared" si="54"/>
        <v>2826075</v>
      </c>
      <c r="K301" s="237">
        <f t="shared" si="54"/>
        <v>251522</v>
      </c>
      <c r="L301" s="237">
        <f t="shared" si="54"/>
        <v>300642</v>
      </c>
      <c r="M301" s="237">
        <f t="shared" si="54"/>
        <v>321834</v>
      </c>
      <c r="N301" s="237">
        <f t="shared" si="54"/>
        <v>973702</v>
      </c>
      <c r="O301" s="343">
        <f t="shared" si="52"/>
        <v>71935899</v>
      </c>
      <c r="P301" s="353"/>
      <c r="Q301" s="59"/>
    </row>
    <row r="302" spans="2:6" ht="15">
      <c r="B302" s="215"/>
      <c r="C302" s="46"/>
      <c r="D302" s="46"/>
      <c r="E302" s="104"/>
      <c r="F302" s="104"/>
    </row>
    <row r="303" spans="2:17" ht="15">
      <c r="B303" s="215"/>
      <c r="C303" s="46"/>
      <c r="D303" s="46"/>
      <c r="E303" s="104"/>
      <c r="F303" s="104"/>
      <c r="O303" s="209"/>
      <c r="P303" s="209"/>
      <c r="Q303" s="209"/>
    </row>
    <row r="304" spans="2:6" ht="15">
      <c r="B304" s="158" t="s">
        <v>365</v>
      </c>
      <c r="C304" s="46"/>
      <c r="D304" s="46"/>
      <c r="E304" s="104" t="s">
        <v>35</v>
      </c>
      <c r="F304" s="104"/>
    </row>
    <row r="305" ht="15">
      <c r="B305" s="390"/>
    </row>
    <row r="306" ht="15">
      <c r="C306" s="365"/>
    </row>
    <row r="309" ht="15">
      <c r="B309" s="158"/>
    </row>
  </sheetData>
  <sheetProtection/>
  <mergeCells count="9">
    <mergeCell ref="A5:D5"/>
    <mergeCell ref="A60:D60"/>
    <mergeCell ref="A277:D277"/>
    <mergeCell ref="M2:O2"/>
    <mergeCell ref="L3:O3"/>
    <mergeCell ref="K4:O4"/>
    <mergeCell ref="N56:O56"/>
    <mergeCell ref="M57:O57"/>
    <mergeCell ref="L58:O58"/>
  </mergeCells>
  <printOptions/>
  <pageMargins left="0.55" right="0.17" top="0.7874015748031497" bottom="0.5905511811023623" header="0.5118110236220472" footer="0.5118110236220472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6"/>
  <sheetViews>
    <sheetView zoomScalePageLayoutView="0" workbookViewId="0" topLeftCell="A1">
      <selection activeCell="A27" sqref="A27:IV27"/>
    </sheetView>
  </sheetViews>
  <sheetFormatPr defaultColWidth="9.140625" defaultRowHeight="12.75"/>
  <cols>
    <col min="1" max="1" width="41.57421875" style="73" customWidth="1"/>
    <col min="2" max="2" width="9.140625" style="73" customWidth="1"/>
    <col min="3" max="3" width="11.00390625" style="73" bestFit="1" customWidth="1"/>
    <col min="4" max="4" width="13.28125" style="73" customWidth="1"/>
    <col min="5" max="5" width="10.28125" style="73" customWidth="1"/>
    <col min="6" max="6" width="12.8515625" style="73" customWidth="1"/>
    <col min="7" max="7" width="10.57421875" style="73" customWidth="1"/>
    <col min="8" max="16384" width="9.140625" style="73" customWidth="1"/>
  </cols>
  <sheetData>
    <row r="1" ht="12.75">
      <c r="D1" s="73" t="s">
        <v>36</v>
      </c>
    </row>
    <row r="2" spans="1:6" ht="18.75">
      <c r="A2" s="553" t="s">
        <v>620</v>
      </c>
      <c r="B2" s="553"/>
      <c r="C2" s="553"/>
      <c r="D2" s="553"/>
      <c r="E2" s="553"/>
      <c r="F2" s="553"/>
    </row>
    <row r="3" spans="1:7" ht="90">
      <c r="A3" s="82" t="s">
        <v>21</v>
      </c>
      <c r="B3" s="83" t="s">
        <v>22</v>
      </c>
      <c r="C3" s="26" t="s">
        <v>621</v>
      </c>
      <c r="D3" s="84" t="s">
        <v>665</v>
      </c>
      <c r="E3" s="84" t="s">
        <v>622</v>
      </c>
      <c r="F3" s="84" t="s">
        <v>623</v>
      </c>
      <c r="G3" s="85"/>
    </row>
    <row r="4" spans="1:7" ht="15">
      <c r="A4" s="20" t="s">
        <v>43</v>
      </c>
      <c r="B4" s="21" t="s">
        <v>25</v>
      </c>
      <c r="C4" s="23"/>
      <c r="D4" s="13"/>
      <c r="E4" s="13"/>
      <c r="F4" s="13"/>
      <c r="G4" s="14"/>
    </row>
    <row r="5" spans="1:7" ht="15">
      <c r="A5" s="20" t="s">
        <v>44</v>
      </c>
      <c r="B5" s="21" t="s">
        <v>26</v>
      </c>
      <c r="C5" s="23">
        <v>65170</v>
      </c>
      <c r="D5" s="13"/>
      <c r="E5" s="13"/>
      <c r="F5" s="13"/>
      <c r="G5" s="14"/>
    </row>
    <row r="6" spans="1:7" ht="30" customHeight="1">
      <c r="A6" s="20" t="s">
        <v>235</v>
      </c>
      <c r="B6" s="21" t="s">
        <v>234</v>
      </c>
      <c r="C6" s="79">
        <f>D26+D33</f>
        <v>3221753</v>
      </c>
      <c r="D6" s="13"/>
      <c r="E6" s="13"/>
      <c r="F6" s="13"/>
      <c r="G6" s="14"/>
    </row>
    <row r="7" spans="1:7" ht="30">
      <c r="A7" s="20" t="s">
        <v>243</v>
      </c>
      <c r="B7" s="16" t="s">
        <v>358</v>
      </c>
      <c r="C7" s="24"/>
      <c r="D7" s="15"/>
      <c r="E7" s="15"/>
      <c r="F7" s="14">
        <f>517+1400</f>
        <v>1917</v>
      </c>
      <c r="G7" s="14"/>
    </row>
    <row r="8" spans="1:7" ht="30">
      <c r="A8" s="20" t="s">
        <v>371</v>
      </c>
      <c r="B8" s="16" t="s">
        <v>372</v>
      </c>
      <c r="C8" s="24"/>
      <c r="D8" s="15"/>
      <c r="E8" s="15"/>
      <c r="F8" s="14"/>
      <c r="G8" s="14"/>
    </row>
    <row r="9" spans="1:9" ht="14.25">
      <c r="A9" s="17" t="s">
        <v>23</v>
      </c>
      <c r="B9" s="18"/>
      <c r="C9" s="19">
        <f>SUM(C4:C8)</f>
        <v>3286923</v>
      </c>
      <c r="D9" s="19">
        <f>SUM(D4:D8)</f>
        <v>0</v>
      </c>
      <c r="E9" s="19">
        <f>SUM(E4:E8)</f>
        <v>0</v>
      </c>
      <c r="F9" s="19">
        <f>SUM(F4:F8)</f>
        <v>1917</v>
      </c>
      <c r="G9" s="19">
        <f>SUM(C9:F9)</f>
        <v>3288840</v>
      </c>
      <c r="I9" s="67"/>
    </row>
    <row r="10" spans="1:7" ht="14.25">
      <c r="A10" s="17" t="s">
        <v>624</v>
      </c>
      <c r="B10" s="18"/>
      <c r="C10" s="363"/>
      <c r="D10" s="18"/>
      <c r="E10" s="18"/>
      <c r="F10" s="18"/>
      <c r="G10" s="19">
        <f>SUM(C10:F10)</f>
        <v>0</v>
      </c>
    </row>
    <row r="11" spans="1:7" s="30" customFormat="1" ht="15">
      <c r="A11" s="28" t="s">
        <v>217</v>
      </c>
      <c r="B11" s="29"/>
      <c r="C11" s="293"/>
      <c r="G11" s="19">
        <f>SUM(C11:F11)</f>
        <v>0</v>
      </c>
    </row>
    <row r="12" spans="1:7" s="30" customFormat="1" ht="15">
      <c r="A12" s="28"/>
      <c r="B12" s="77"/>
      <c r="C12" s="78"/>
      <c r="G12" s="19"/>
    </row>
    <row r="13" spans="1:7" s="30" customFormat="1" ht="18" customHeight="1">
      <c r="A13" s="552" t="s">
        <v>356</v>
      </c>
      <c r="B13" s="552"/>
      <c r="C13" s="552"/>
      <c r="D13" s="552"/>
      <c r="E13" s="552"/>
      <c r="F13" s="552"/>
      <c r="G13" s="552"/>
    </row>
    <row r="14" spans="1:7" s="30" customFormat="1" ht="15.75">
      <c r="A14" s="73"/>
      <c r="B14" s="73"/>
      <c r="C14" s="73"/>
      <c r="D14" s="86" t="s">
        <v>349</v>
      </c>
      <c r="E14" s="73"/>
      <c r="F14" s="73"/>
      <c r="G14" s="73"/>
    </row>
    <row r="15" spans="1:12" s="30" customFormat="1" ht="31.5">
      <c r="A15" s="494" t="s">
        <v>682</v>
      </c>
      <c r="B15" s="89"/>
      <c r="C15" s="89"/>
      <c r="D15" s="372">
        <f>27139+474</f>
        <v>27613</v>
      </c>
      <c r="E15" s="89"/>
      <c r="F15" s="73"/>
      <c r="G15" s="73"/>
      <c r="I15" s="518"/>
      <c r="J15" s="518"/>
      <c r="K15" s="522"/>
      <c r="L15" s="518"/>
    </row>
    <row r="16" spans="1:12" s="30" customFormat="1" ht="30">
      <c r="A16" s="28" t="s">
        <v>690</v>
      </c>
      <c r="B16" s="87"/>
      <c r="C16" s="87"/>
      <c r="D16" s="70">
        <v>29461</v>
      </c>
      <c r="E16" s="73"/>
      <c r="F16" s="73"/>
      <c r="G16" s="73"/>
      <c r="I16" s="522"/>
      <c r="J16" s="518"/>
      <c r="K16" s="522"/>
      <c r="L16" s="518"/>
    </row>
    <row r="17" spans="1:12" s="30" customFormat="1" ht="30" customHeight="1">
      <c r="A17" s="28" t="s">
        <v>489</v>
      </c>
      <c r="B17" s="87"/>
      <c r="C17" s="87"/>
      <c r="D17" s="358">
        <v>1784724</v>
      </c>
      <c r="E17" s="73"/>
      <c r="F17" s="73"/>
      <c r="G17" s="73"/>
      <c r="I17" s="522"/>
      <c r="J17" s="518"/>
      <c r="K17" s="522"/>
      <c r="L17" s="518"/>
    </row>
    <row r="18" spans="1:12" s="30" customFormat="1" ht="30" customHeight="1">
      <c r="A18" s="291" t="s">
        <v>548</v>
      </c>
      <c r="B18" s="87"/>
      <c r="C18" s="87"/>
      <c r="D18" s="358">
        <v>248480</v>
      </c>
      <c r="E18" s="73"/>
      <c r="F18" s="73"/>
      <c r="G18" s="73"/>
      <c r="I18" s="522"/>
      <c r="J18" s="518"/>
      <c r="K18" s="522"/>
      <c r="L18" s="518"/>
    </row>
    <row r="19" spans="1:14" s="30" customFormat="1" ht="30">
      <c r="A19" s="28" t="s">
        <v>488</v>
      </c>
      <c r="B19" s="87"/>
      <c r="C19" s="87"/>
      <c r="D19" s="358">
        <v>102984</v>
      </c>
      <c r="E19" s="73"/>
      <c r="F19" s="73"/>
      <c r="G19" s="73"/>
      <c r="I19" s="522"/>
      <c r="J19" s="518"/>
      <c r="K19" s="522"/>
      <c r="L19" s="518"/>
      <c r="N19" s="520"/>
    </row>
    <row r="20" spans="1:14" s="30" customFormat="1" ht="30">
      <c r="A20" s="521" t="s">
        <v>698</v>
      </c>
      <c r="B20" s="87"/>
      <c r="C20" s="87"/>
      <c r="D20" s="358">
        <v>167884</v>
      </c>
      <c r="E20" s="73"/>
      <c r="F20" s="73"/>
      <c r="G20" s="73"/>
      <c r="I20" s="522"/>
      <c r="J20" s="518"/>
      <c r="K20" s="522"/>
      <c r="L20" s="518"/>
      <c r="N20" s="520"/>
    </row>
    <row r="21" spans="1:12" s="30" customFormat="1" ht="30">
      <c r="A21" s="291" t="s">
        <v>490</v>
      </c>
      <c r="B21" s="87"/>
      <c r="C21" s="87"/>
      <c r="D21" s="70">
        <v>1887</v>
      </c>
      <c r="E21" s="73"/>
      <c r="F21" s="73"/>
      <c r="G21" s="73"/>
      <c r="I21" s="518"/>
      <c r="J21" s="518"/>
      <c r="K21" s="518"/>
      <c r="L21" s="518"/>
    </row>
    <row r="22" spans="1:14" s="30" customFormat="1" ht="30">
      <c r="A22" s="291" t="s">
        <v>491</v>
      </c>
      <c r="B22" s="87"/>
      <c r="C22" s="87"/>
      <c r="D22" s="70">
        <v>951</v>
      </c>
      <c r="E22" s="73"/>
      <c r="F22" s="73"/>
      <c r="G22" s="73"/>
      <c r="I22" s="518"/>
      <c r="J22" s="518"/>
      <c r="K22" s="518"/>
      <c r="L22" s="518"/>
      <c r="N22" s="520"/>
    </row>
    <row r="23" spans="1:14" s="30" customFormat="1" ht="30">
      <c r="A23" s="291" t="s">
        <v>550</v>
      </c>
      <c r="B23" s="87"/>
      <c r="C23" s="87"/>
      <c r="D23" s="371">
        <v>123991</v>
      </c>
      <c r="E23" s="73"/>
      <c r="F23" s="73"/>
      <c r="G23" s="73"/>
      <c r="I23" s="525"/>
      <c r="J23" s="518"/>
      <c r="K23" s="526"/>
      <c r="L23" s="518"/>
      <c r="N23" s="89"/>
    </row>
    <row r="24" spans="1:14" s="30" customFormat="1" ht="30">
      <c r="A24" s="291" t="s">
        <v>551</v>
      </c>
      <c r="B24" s="87"/>
      <c r="C24" s="87"/>
      <c r="D24" s="371">
        <v>31644</v>
      </c>
      <c r="E24" s="73"/>
      <c r="F24" s="73"/>
      <c r="G24" s="73"/>
      <c r="I24" s="525"/>
      <c r="J24" s="518"/>
      <c r="K24" s="526"/>
      <c r="L24" s="518"/>
      <c r="N24" s="89"/>
    </row>
    <row r="25" spans="1:12" s="30" customFormat="1" ht="15.75">
      <c r="A25" s="366"/>
      <c r="B25" s="87"/>
      <c r="C25" s="87"/>
      <c r="D25" s="70"/>
      <c r="E25" s="73"/>
      <c r="F25" s="73"/>
      <c r="G25" s="73"/>
      <c r="I25" s="518"/>
      <c r="J25" s="518"/>
      <c r="K25" s="518"/>
      <c r="L25" s="518"/>
    </row>
    <row r="26" spans="1:12" s="89" customFormat="1" ht="18.75" customHeight="1">
      <c r="A26" s="244"/>
      <c r="C26" s="89" t="s">
        <v>326</v>
      </c>
      <c r="D26" s="511">
        <f>SUM(D15:D25)</f>
        <v>2519619</v>
      </c>
      <c r="I26" s="97"/>
      <c r="J26" s="97"/>
      <c r="K26" s="97"/>
      <c r="L26" s="97"/>
    </row>
    <row r="27" spans="1:12" s="89" customFormat="1" ht="45" customHeight="1">
      <c r="A27" s="552" t="s">
        <v>353</v>
      </c>
      <c r="B27" s="552"/>
      <c r="C27" s="552"/>
      <c r="D27" s="552"/>
      <c r="E27" s="552"/>
      <c r="F27" s="552"/>
      <c r="G27" s="552"/>
      <c r="I27" s="97"/>
      <c r="J27" s="97"/>
      <c r="K27" s="97"/>
      <c r="L27" s="97"/>
    </row>
    <row r="28" spans="1:12" s="89" customFormat="1" ht="15.75">
      <c r="A28" s="69"/>
      <c r="D28" s="86" t="s">
        <v>349</v>
      </c>
      <c r="I28" s="97"/>
      <c r="J28" s="97"/>
      <c r="K28" s="97"/>
      <c r="L28" s="97"/>
    </row>
    <row r="29" spans="1:12" s="89" customFormat="1" ht="30">
      <c r="A29" s="368" t="s">
        <v>714</v>
      </c>
      <c r="D29" s="358">
        <v>644764</v>
      </c>
      <c r="I29" s="97"/>
      <c r="J29" s="97"/>
      <c r="K29" s="527"/>
      <c r="L29" s="97"/>
    </row>
    <row r="30" spans="1:12" s="89" customFormat="1" ht="60">
      <c r="A30" s="368" t="s">
        <v>675</v>
      </c>
      <c r="D30" s="358">
        <v>1870</v>
      </c>
      <c r="I30" s="97"/>
      <c r="J30" s="97"/>
      <c r="K30" s="497"/>
      <c r="L30" s="97"/>
    </row>
    <row r="31" spans="1:12" s="89" customFormat="1" ht="60">
      <c r="A31" s="368" t="s">
        <v>676</v>
      </c>
      <c r="D31" s="358">
        <v>1700</v>
      </c>
      <c r="I31" s="97"/>
      <c r="J31" s="97"/>
      <c r="K31" s="497"/>
      <c r="L31" s="97"/>
    </row>
    <row r="32" spans="1:12" s="89" customFormat="1" ht="30">
      <c r="A32" s="69" t="s">
        <v>486</v>
      </c>
      <c r="D32" s="372">
        <v>53800</v>
      </c>
      <c r="I32" s="97"/>
      <c r="J32" s="97"/>
      <c r="K32" s="497"/>
      <c r="L32" s="97"/>
    </row>
    <row r="33" spans="1:12" s="89" customFormat="1" ht="15">
      <c r="A33" s="69"/>
      <c r="C33" s="89" t="s">
        <v>326</v>
      </c>
      <c r="D33" s="90">
        <f>SUM(D29:D32)</f>
        <v>702134</v>
      </c>
      <c r="I33" s="97"/>
      <c r="J33" s="97"/>
      <c r="K33" s="97"/>
      <c r="L33" s="97"/>
    </row>
    <row r="34" spans="1:12" s="89" customFormat="1" ht="15">
      <c r="A34" s="69"/>
      <c r="D34" s="90"/>
      <c r="I34" s="97"/>
      <c r="J34" s="97"/>
      <c r="K34" s="97"/>
      <c r="L34" s="97"/>
    </row>
    <row r="35" spans="1:5" ht="18" customHeight="1">
      <c r="A35" s="87" t="s">
        <v>365</v>
      </c>
      <c r="B35" s="87"/>
      <c r="C35" s="87"/>
      <c r="D35" s="87"/>
      <c r="E35" s="87" t="s">
        <v>35</v>
      </c>
    </row>
    <row r="36" spans="1:5" ht="15">
      <c r="A36" s="87"/>
      <c r="B36" s="87"/>
      <c r="C36" s="87"/>
      <c r="D36" s="87"/>
      <c r="E36" s="87"/>
    </row>
    <row r="40" ht="18" customHeight="1"/>
  </sheetData>
  <sheetProtection/>
  <mergeCells count="3">
    <mergeCell ref="A27:G27"/>
    <mergeCell ref="A2:F2"/>
    <mergeCell ref="A13:G13"/>
  </mergeCells>
  <printOptions/>
  <pageMargins left="0.7480314960629921" right="0.15748031496062992" top="0.4330708661417323" bottom="0.2755905511811024" header="0.5511811023622047" footer="0.2755905511811024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4"/>
  <sheetViews>
    <sheetView zoomScalePageLayoutView="0" workbookViewId="0" topLeftCell="A1">
      <selection activeCell="B183" sqref="B183"/>
    </sheetView>
  </sheetViews>
  <sheetFormatPr defaultColWidth="9.140625" defaultRowHeight="12.75"/>
  <cols>
    <col min="1" max="1" width="27.421875" style="87" customWidth="1"/>
    <col min="2" max="2" width="12.00390625" style="396" customWidth="1"/>
    <col min="3" max="3" width="33.7109375" style="87" customWidth="1"/>
    <col min="4" max="4" width="13.28125" style="88" customWidth="1"/>
    <col min="5" max="5" width="50.421875" style="87" customWidth="1"/>
    <col min="6" max="6" width="9.140625" style="87" customWidth="1"/>
    <col min="7" max="16384" width="9.140625" style="87" customWidth="1"/>
  </cols>
  <sheetData>
    <row r="1" ht="15">
      <c r="E1" s="87" t="s">
        <v>36</v>
      </c>
    </row>
    <row r="2" spans="1:5" ht="18.75">
      <c r="A2" s="554" t="s">
        <v>625</v>
      </c>
      <c r="B2" s="554"/>
      <c r="C2" s="554"/>
      <c r="D2" s="554"/>
      <c r="E2" s="554"/>
    </row>
    <row r="3" spans="1:5" ht="31.5">
      <c r="A3" s="397" t="s">
        <v>1</v>
      </c>
      <c r="B3" s="398" t="s">
        <v>5</v>
      </c>
      <c r="C3" s="397" t="s">
        <v>2</v>
      </c>
      <c r="D3" s="399" t="s">
        <v>3</v>
      </c>
      <c r="E3" s="397" t="s">
        <v>4</v>
      </c>
    </row>
    <row r="4" spans="1:5" ht="15.75">
      <c r="A4" s="397"/>
      <c r="B4" s="400"/>
      <c r="C4" s="397"/>
      <c r="D4" s="536" t="s">
        <v>349</v>
      </c>
      <c r="E4" s="74"/>
    </row>
    <row r="5" spans="1:5" ht="15">
      <c r="A5" s="402" t="s">
        <v>141</v>
      </c>
      <c r="B5" s="403" t="s">
        <v>68</v>
      </c>
      <c r="C5" s="404"/>
      <c r="D5" s="537">
        <f>SUM(D6,D11)</f>
        <v>-106171</v>
      </c>
      <c r="E5" s="405"/>
    </row>
    <row r="6" spans="1:5" ht="15">
      <c r="A6" s="406" t="s">
        <v>355</v>
      </c>
      <c r="B6" s="393" t="s">
        <v>244</v>
      </c>
      <c r="C6" s="404"/>
      <c r="D6" s="538">
        <f>SUM(D7:D10)</f>
        <v>1900</v>
      </c>
      <c r="E6" s="389" t="s">
        <v>706</v>
      </c>
    </row>
    <row r="7" spans="1:5" ht="15">
      <c r="A7" s="406"/>
      <c r="B7" s="241" t="s">
        <v>209</v>
      </c>
      <c r="C7" s="109" t="s">
        <v>199</v>
      </c>
      <c r="D7" s="539">
        <v>-1695</v>
      </c>
      <c r="E7" s="389"/>
    </row>
    <row r="8" spans="1:5" ht="15">
      <c r="A8" s="406"/>
      <c r="B8" s="241" t="s">
        <v>211</v>
      </c>
      <c r="C8" s="405" t="s">
        <v>341</v>
      </c>
      <c r="D8" s="539">
        <f>-581-323</f>
        <v>-904</v>
      </c>
      <c r="E8" s="389"/>
    </row>
    <row r="9" spans="1:5" ht="15">
      <c r="A9" s="406"/>
      <c r="B9" s="380" t="s">
        <v>210</v>
      </c>
      <c r="C9" s="389" t="s">
        <v>204</v>
      </c>
      <c r="D9" s="539">
        <f>2276+323</f>
        <v>2599</v>
      </c>
      <c r="E9" s="389"/>
    </row>
    <row r="10" spans="1:5" ht="15">
      <c r="A10" s="406"/>
      <c r="B10" s="380" t="s">
        <v>357</v>
      </c>
      <c r="C10" s="109" t="s">
        <v>205</v>
      </c>
      <c r="D10" s="539">
        <v>1900</v>
      </c>
      <c r="E10" s="389"/>
    </row>
    <row r="11" spans="1:5" s="91" customFormat="1" ht="30">
      <c r="A11" s="408" t="s">
        <v>248</v>
      </c>
      <c r="B11" s="242" t="s">
        <v>367</v>
      </c>
      <c r="C11" s="109"/>
      <c r="D11" s="539">
        <f>-82576-4595-14900-6000</f>
        <v>-108071</v>
      </c>
      <c r="E11" s="109"/>
    </row>
    <row r="12" spans="1:5" ht="29.25">
      <c r="A12" s="404" t="s">
        <v>79</v>
      </c>
      <c r="B12" s="403" t="s">
        <v>78</v>
      </c>
      <c r="C12" s="404"/>
      <c r="D12" s="540">
        <v>0</v>
      </c>
      <c r="E12" s="389"/>
    </row>
    <row r="13" spans="1:5" ht="15">
      <c r="A13" s="139" t="s">
        <v>81</v>
      </c>
      <c r="B13" s="410" t="s">
        <v>8</v>
      </c>
      <c r="C13" s="139"/>
      <c r="D13" s="540">
        <f>SUM(D14,D18,D21,D26,D29)</f>
        <v>-262</v>
      </c>
      <c r="E13" s="109"/>
    </row>
    <row r="14" spans="1:5" ht="30">
      <c r="A14" s="480" t="s">
        <v>252</v>
      </c>
      <c r="B14" s="393" t="s">
        <v>251</v>
      </c>
      <c r="C14" s="139"/>
      <c r="D14" s="382">
        <f>SUM(D15:D17)</f>
        <v>-262</v>
      </c>
      <c r="E14" s="109" t="s">
        <v>716</v>
      </c>
    </row>
    <row r="15" spans="1:5" ht="15">
      <c r="A15" s="139"/>
      <c r="B15" s="407" t="s">
        <v>17</v>
      </c>
      <c r="C15" s="405" t="s">
        <v>218</v>
      </c>
      <c r="D15" s="37">
        <f>-1746</f>
        <v>-1746</v>
      </c>
      <c r="E15" s="109"/>
    </row>
    <row r="16" spans="1:5" ht="15">
      <c r="A16" s="139"/>
      <c r="B16" s="407" t="s">
        <v>18</v>
      </c>
      <c r="C16" s="405" t="s">
        <v>6</v>
      </c>
      <c r="D16" s="37">
        <v>-262</v>
      </c>
      <c r="E16" s="109"/>
    </row>
    <row r="17" spans="1:5" ht="15">
      <c r="A17" s="139"/>
      <c r="B17" s="380" t="s">
        <v>342</v>
      </c>
      <c r="C17" s="413" t="s">
        <v>344</v>
      </c>
      <c r="D17" s="37">
        <v>1746</v>
      </c>
      <c r="E17" s="109"/>
    </row>
    <row r="18" spans="1:5" ht="60">
      <c r="A18" s="446" t="s">
        <v>582</v>
      </c>
      <c r="B18" s="393" t="s">
        <v>461</v>
      </c>
      <c r="C18" s="127"/>
      <c r="D18" s="376">
        <f>SUM(D19:D20)</f>
        <v>0</v>
      </c>
      <c r="E18" s="389" t="s">
        <v>20</v>
      </c>
    </row>
    <row r="19" spans="1:5" ht="15">
      <c r="A19" s="412"/>
      <c r="B19" s="407" t="s">
        <v>209</v>
      </c>
      <c r="C19" s="389" t="s">
        <v>199</v>
      </c>
      <c r="D19" s="37">
        <v>-9075</v>
      </c>
      <c r="E19" s="109"/>
    </row>
    <row r="20" spans="1:5" ht="15">
      <c r="A20" s="412"/>
      <c r="B20" s="407" t="s">
        <v>210</v>
      </c>
      <c r="C20" s="389" t="s">
        <v>237</v>
      </c>
      <c r="D20" s="37">
        <v>9075</v>
      </c>
      <c r="E20" s="109"/>
    </row>
    <row r="21" spans="1:5" s="429" customFormat="1" ht="15">
      <c r="A21" s="512" t="s">
        <v>584</v>
      </c>
      <c r="B21" s="430" t="s">
        <v>583</v>
      </c>
      <c r="C21" s="428"/>
      <c r="D21" s="382">
        <f>SUM(D22:D25)</f>
        <v>0</v>
      </c>
      <c r="E21" s="428" t="s">
        <v>20</v>
      </c>
    </row>
    <row r="22" spans="1:5" ht="15">
      <c r="A22" s="411"/>
      <c r="B22" s="407" t="s">
        <v>17</v>
      </c>
      <c r="C22" s="405" t="s">
        <v>218</v>
      </c>
      <c r="D22" s="37">
        <v>600</v>
      </c>
      <c r="E22" s="109"/>
    </row>
    <row r="23" spans="1:5" ht="15">
      <c r="A23" s="412"/>
      <c r="B23" s="241" t="s">
        <v>209</v>
      </c>
      <c r="C23" s="109" t="s">
        <v>199</v>
      </c>
      <c r="D23" s="37">
        <v>-5396</v>
      </c>
      <c r="E23" s="109"/>
    </row>
    <row r="24" spans="1:5" ht="15">
      <c r="A24" s="412"/>
      <c r="B24" s="241" t="s">
        <v>211</v>
      </c>
      <c r="C24" s="405" t="s">
        <v>341</v>
      </c>
      <c r="D24" s="37">
        <v>4000</v>
      </c>
      <c r="E24" s="109"/>
    </row>
    <row r="25" spans="1:5" ht="15">
      <c r="A25" s="412"/>
      <c r="B25" s="380" t="s">
        <v>210</v>
      </c>
      <c r="C25" s="389" t="s">
        <v>204</v>
      </c>
      <c r="D25" s="37">
        <v>796</v>
      </c>
      <c r="E25" s="109"/>
    </row>
    <row r="26" spans="1:5" ht="15">
      <c r="A26" s="415" t="s">
        <v>354</v>
      </c>
      <c r="B26" s="393" t="s">
        <v>529</v>
      </c>
      <c r="C26" s="405"/>
      <c r="D26" s="382">
        <f>SUM(D27:D28)</f>
        <v>0</v>
      </c>
      <c r="E26" s="109" t="s">
        <v>20</v>
      </c>
    </row>
    <row r="27" spans="1:5" ht="15">
      <c r="A27" s="415"/>
      <c r="B27" s="241" t="s">
        <v>209</v>
      </c>
      <c r="C27" s="109" t="s">
        <v>199</v>
      </c>
      <c r="D27" s="424">
        <v>5000</v>
      </c>
      <c r="E27" s="423"/>
    </row>
    <row r="28" spans="1:5" ht="15">
      <c r="A28" s="414"/>
      <c r="B28" s="407" t="s">
        <v>210</v>
      </c>
      <c r="C28" s="389" t="s">
        <v>237</v>
      </c>
      <c r="D28" s="37">
        <v>-5000</v>
      </c>
      <c r="E28" s="362"/>
    </row>
    <row r="29" spans="1:5" ht="15">
      <c r="A29" s="379" t="s">
        <v>639</v>
      </c>
      <c r="B29" s="482" t="s">
        <v>652</v>
      </c>
      <c r="C29" s="413"/>
      <c r="D29" s="484">
        <f>SUM(D30:D35)</f>
        <v>0</v>
      </c>
      <c r="E29" s="109" t="s">
        <v>20</v>
      </c>
    </row>
    <row r="30" spans="1:5" ht="15">
      <c r="A30" s="379"/>
      <c r="B30" s="241" t="s">
        <v>17</v>
      </c>
      <c r="C30" s="405" t="s">
        <v>218</v>
      </c>
      <c r="D30" s="485">
        <v>73</v>
      </c>
      <c r="E30" s="109"/>
    </row>
    <row r="31" spans="1:5" ht="15">
      <c r="A31" s="379"/>
      <c r="B31" s="407" t="s">
        <v>18</v>
      </c>
      <c r="C31" s="405" t="s">
        <v>6</v>
      </c>
      <c r="D31" s="485">
        <v>268</v>
      </c>
      <c r="E31" s="109"/>
    </row>
    <row r="32" spans="1:5" ht="15">
      <c r="A32" s="379"/>
      <c r="B32" s="407" t="s">
        <v>208</v>
      </c>
      <c r="C32" s="401" t="s">
        <v>198</v>
      </c>
      <c r="D32" s="485">
        <v>-200</v>
      </c>
      <c r="E32" s="109"/>
    </row>
    <row r="33" spans="1:5" ht="15">
      <c r="A33" s="379"/>
      <c r="B33" s="241" t="s">
        <v>209</v>
      </c>
      <c r="C33" s="109" t="s">
        <v>199</v>
      </c>
      <c r="D33" s="485">
        <v>-2744</v>
      </c>
      <c r="E33" s="109"/>
    </row>
    <row r="34" spans="1:5" ht="15">
      <c r="A34" s="379"/>
      <c r="B34" s="241" t="s">
        <v>211</v>
      </c>
      <c r="C34" s="405" t="s">
        <v>341</v>
      </c>
      <c r="D34" s="424">
        <v>403</v>
      </c>
      <c r="E34" s="109"/>
    </row>
    <row r="35" spans="1:5" ht="15">
      <c r="A35" s="379"/>
      <c r="B35" s="241" t="s">
        <v>210</v>
      </c>
      <c r="C35" s="405" t="s">
        <v>204</v>
      </c>
      <c r="D35" s="424">
        <v>2200</v>
      </c>
      <c r="E35" s="109"/>
    </row>
    <row r="36" spans="1:5" ht="15">
      <c r="A36" s="416" t="s">
        <v>92</v>
      </c>
      <c r="B36" s="417" t="s">
        <v>30</v>
      </c>
      <c r="C36" s="416"/>
      <c r="D36" s="540">
        <f>SUM(D37:D38,D39)</f>
        <v>4664</v>
      </c>
      <c r="E36" s="418"/>
    </row>
    <row r="37" spans="1:5" ht="30">
      <c r="A37" s="414" t="s">
        <v>343</v>
      </c>
      <c r="B37" s="419"/>
      <c r="C37" s="405"/>
      <c r="D37" s="540"/>
      <c r="E37" s="420"/>
    </row>
    <row r="38" spans="1:5" ht="15">
      <c r="A38" s="517"/>
      <c r="B38" s="419" t="s">
        <v>259</v>
      </c>
      <c r="C38" s="405" t="s">
        <v>544</v>
      </c>
      <c r="D38" s="540">
        <v>3311</v>
      </c>
      <c r="E38" s="389" t="s">
        <v>545</v>
      </c>
    </row>
    <row r="39" spans="1:5" ht="45">
      <c r="A39" s="448" t="s">
        <v>498</v>
      </c>
      <c r="B39" s="419" t="s">
        <v>425</v>
      </c>
      <c r="C39" s="413"/>
      <c r="D39" s="382">
        <f>SUM(D40:D41)</f>
        <v>1353</v>
      </c>
      <c r="E39" s="109" t="s">
        <v>722</v>
      </c>
    </row>
    <row r="40" spans="1:5" ht="15">
      <c r="A40" s="441"/>
      <c r="B40" s="241" t="s">
        <v>209</v>
      </c>
      <c r="C40" s="109" t="s">
        <v>199</v>
      </c>
      <c r="D40" s="424">
        <v>-2994</v>
      </c>
      <c r="E40" s="389"/>
    </row>
    <row r="41" spans="1:5" ht="15">
      <c r="A41" s="414"/>
      <c r="B41" s="380" t="s">
        <v>210</v>
      </c>
      <c r="C41" s="413" t="s">
        <v>237</v>
      </c>
      <c r="D41" s="424">
        <v>4347</v>
      </c>
      <c r="E41" s="109"/>
    </row>
    <row r="42" spans="1:5" ht="29.25">
      <c r="A42" s="416" t="s">
        <v>143</v>
      </c>
      <c r="B42" s="417" t="s">
        <v>11</v>
      </c>
      <c r="C42" s="416"/>
      <c r="D42" s="540">
        <f>SUM(D43:D44,D45:D48,D49,D52,D54)</f>
        <v>1606</v>
      </c>
      <c r="E42" s="389"/>
    </row>
    <row r="43" spans="1:5" ht="15">
      <c r="A43" s="422" t="s">
        <v>99</v>
      </c>
      <c r="B43" s="242"/>
      <c r="C43" s="405"/>
      <c r="D43" s="540"/>
      <c r="E43" s="389"/>
    </row>
    <row r="44" spans="1:5" ht="15">
      <c r="A44" s="422"/>
      <c r="B44" s="242" t="s">
        <v>98</v>
      </c>
      <c r="C44" s="405" t="s">
        <v>544</v>
      </c>
      <c r="D44" s="540">
        <v>-2911</v>
      </c>
      <c r="E44" s="389" t="s">
        <v>545</v>
      </c>
    </row>
    <row r="45" spans="1:5" ht="15.75">
      <c r="A45" s="408" t="s">
        <v>359</v>
      </c>
      <c r="B45" s="393"/>
      <c r="C45" s="405"/>
      <c r="D45" s="540"/>
      <c r="E45" s="381"/>
    </row>
    <row r="46" spans="1:5" ht="15">
      <c r="A46" s="408"/>
      <c r="B46" s="393" t="s">
        <v>265</v>
      </c>
      <c r="C46" s="405" t="s">
        <v>544</v>
      </c>
      <c r="D46" s="540">
        <v>517</v>
      </c>
      <c r="E46" s="389" t="s">
        <v>545</v>
      </c>
    </row>
    <row r="47" spans="1:5" ht="15">
      <c r="A47" s="391" t="s">
        <v>360</v>
      </c>
      <c r="B47" s="393" t="s">
        <v>266</v>
      </c>
      <c r="C47" s="405"/>
      <c r="D47" s="540"/>
      <c r="E47" s="109"/>
    </row>
    <row r="48" spans="1:5" ht="15">
      <c r="A48" s="391"/>
      <c r="B48" s="393"/>
      <c r="C48" s="405" t="s">
        <v>544</v>
      </c>
      <c r="D48" s="540">
        <v>1000</v>
      </c>
      <c r="E48" s="389" t="s">
        <v>545</v>
      </c>
    </row>
    <row r="49" spans="1:5" ht="30">
      <c r="A49" s="480" t="s">
        <v>347</v>
      </c>
      <c r="B49" s="393" t="s">
        <v>269</v>
      </c>
      <c r="C49" s="389"/>
      <c r="D49" s="382">
        <f>SUM(D50:D51)</f>
        <v>0</v>
      </c>
      <c r="E49" s="109" t="s">
        <v>20</v>
      </c>
    </row>
    <row r="50" spans="1:5" ht="15">
      <c r="A50" s="408"/>
      <c r="B50" s="241" t="s">
        <v>209</v>
      </c>
      <c r="C50" s="109" t="s">
        <v>199</v>
      </c>
      <c r="D50" s="424">
        <v>2000</v>
      </c>
      <c r="E50" s="423"/>
    </row>
    <row r="51" spans="1:5" ht="15">
      <c r="A51" s="391"/>
      <c r="B51" s="241" t="s">
        <v>539</v>
      </c>
      <c r="C51" s="405" t="s">
        <v>202</v>
      </c>
      <c r="D51" s="424">
        <v>-2000</v>
      </c>
      <c r="E51" s="423"/>
    </row>
    <row r="52" spans="1:5" ht="30">
      <c r="A52" s="391" t="s">
        <v>477</v>
      </c>
      <c r="B52" s="393" t="s">
        <v>271</v>
      </c>
      <c r="C52" s="405"/>
      <c r="D52" s="382">
        <f>D53</f>
        <v>3000</v>
      </c>
      <c r="E52" s="423"/>
    </row>
    <row r="53" spans="1:5" ht="30">
      <c r="A53" s="480"/>
      <c r="B53" s="407" t="s">
        <v>342</v>
      </c>
      <c r="C53" s="389" t="s">
        <v>344</v>
      </c>
      <c r="D53" s="37">
        <f>3000</f>
        <v>3000</v>
      </c>
      <c r="E53" s="109" t="s">
        <v>708</v>
      </c>
    </row>
    <row r="54" spans="1:5" ht="78" customHeight="1">
      <c r="A54" s="480" t="s">
        <v>637</v>
      </c>
      <c r="B54" s="393" t="s">
        <v>636</v>
      </c>
      <c r="C54" s="389"/>
      <c r="D54" s="376">
        <f>SUM(D55:D59)</f>
        <v>0</v>
      </c>
      <c r="E54" s="428" t="s">
        <v>702</v>
      </c>
    </row>
    <row r="55" spans="1:5" ht="15">
      <c r="A55" s="480"/>
      <c r="B55" s="241" t="s">
        <v>17</v>
      </c>
      <c r="C55" s="405" t="s">
        <v>218</v>
      </c>
      <c r="D55" s="37">
        <v>6</v>
      </c>
      <c r="E55" s="109"/>
    </row>
    <row r="56" spans="1:5" ht="15">
      <c r="A56" s="480"/>
      <c r="B56" s="407" t="s">
        <v>18</v>
      </c>
      <c r="C56" s="405" t="s">
        <v>6</v>
      </c>
      <c r="D56" s="37">
        <v>2</v>
      </c>
      <c r="E56" s="109"/>
    </row>
    <row r="57" spans="1:5" ht="15">
      <c r="A57" s="391"/>
      <c r="B57" s="407" t="s">
        <v>209</v>
      </c>
      <c r="C57" s="389" t="s">
        <v>199</v>
      </c>
      <c r="D57" s="37">
        <v>-698</v>
      </c>
      <c r="E57" s="109"/>
    </row>
    <row r="58" spans="1:5" ht="15">
      <c r="A58" s="391"/>
      <c r="B58" s="241" t="s">
        <v>211</v>
      </c>
      <c r="C58" s="127" t="s">
        <v>341</v>
      </c>
      <c r="D58" s="37">
        <v>590</v>
      </c>
      <c r="E58" s="109"/>
    </row>
    <row r="59" spans="1:5" ht="15">
      <c r="A59" s="391"/>
      <c r="B59" s="380" t="s">
        <v>210</v>
      </c>
      <c r="C59" s="413" t="s">
        <v>237</v>
      </c>
      <c r="D59" s="37">
        <v>100</v>
      </c>
      <c r="E59" s="109"/>
    </row>
    <row r="60" spans="1:5" ht="30">
      <c r="A60" s="408" t="s">
        <v>659</v>
      </c>
      <c r="B60" s="242" t="s">
        <v>653</v>
      </c>
      <c r="C60" s="389"/>
      <c r="D60" s="376">
        <f>SUM(D61:D64)</f>
        <v>-15869</v>
      </c>
      <c r="E60" s="109" t="s">
        <v>711</v>
      </c>
    </row>
    <row r="61" spans="1:5" ht="15">
      <c r="A61" s="408"/>
      <c r="B61" s="241" t="s">
        <v>17</v>
      </c>
      <c r="C61" s="405" t="s">
        <v>218</v>
      </c>
      <c r="D61" s="37">
        <v>-12773</v>
      </c>
      <c r="E61" s="109"/>
    </row>
    <row r="62" spans="1:5" ht="15">
      <c r="A62" s="408"/>
      <c r="B62" s="407" t="s">
        <v>18</v>
      </c>
      <c r="C62" s="405" t="s">
        <v>6</v>
      </c>
      <c r="D62" s="37">
        <v>-3096</v>
      </c>
      <c r="E62" s="109"/>
    </row>
    <row r="63" spans="1:5" ht="15">
      <c r="A63" s="408"/>
      <c r="B63" s="407" t="s">
        <v>209</v>
      </c>
      <c r="C63" s="389" t="s">
        <v>199</v>
      </c>
      <c r="D63" s="37">
        <v>500</v>
      </c>
      <c r="E63" s="109"/>
    </row>
    <row r="64" spans="1:5" ht="15">
      <c r="A64" s="408"/>
      <c r="B64" s="241" t="s">
        <v>211</v>
      </c>
      <c r="C64" s="127" t="s">
        <v>341</v>
      </c>
      <c r="D64" s="37">
        <v>-500</v>
      </c>
      <c r="E64" s="109"/>
    </row>
    <row r="65" spans="1:5" ht="15">
      <c r="A65" s="139" t="s">
        <v>106</v>
      </c>
      <c r="B65" s="417" t="s">
        <v>14</v>
      </c>
      <c r="C65" s="139"/>
      <c r="D65" s="540">
        <f>SUM(D66+D69+D74+D76+D79)</f>
        <v>112016</v>
      </c>
      <c r="E65" s="389"/>
    </row>
    <row r="66" spans="1:5" ht="30">
      <c r="A66" s="109" t="s">
        <v>109</v>
      </c>
      <c r="B66" s="419" t="s">
        <v>274</v>
      </c>
      <c r="C66" s="139"/>
      <c r="D66" s="376">
        <f>SUM(D67:D68)</f>
        <v>0</v>
      </c>
      <c r="E66" s="109" t="s">
        <v>20</v>
      </c>
    </row>
    <row r="67" spans="1:5" ht="15">
      <c r="A67" s="139"/>
      <c r="B67" s="407" t="s">
        <v>209</v>
      </c>
      <c r="C67" s="389" t="s">
        <v>199</v>
      </c>
      <c r="D67" s="37">
        <v>-1000</v>
      </c>
      <c r="E67" s="389"/>
    </row>
    <row r="68" spans="1:5" ht="15">
      <c r="A68" s="139"/>
      <c r="B68" s="241" t="s">
        <v>211</v>
      </c>
      <c r="C68" s="127" t="s">
        <v>341</v>
      </c>
      <c r="D68" s="37">
        <v>1000</v>
      </c>
      <c r="E68" s="389"/>
    </row>
    <row r="69" spans="1:6" s="429" customFormat="1" ht="30">
      <c r="A69" s="425" t="s">
        <v>335</v>
      </c>
      <c r="B69" s="426" t="s">
        <v>277</v>
      </c>
      <c r="C69" s="427"/>
      <c r="D69" s="382">
        <f>SUM(D70:D73)</f>
        <v>0</v>
      </c>
      <c r="E69" s="106" t="s">
        <v>20</v>
      </c>
      <c r="F69" s="87"/>
    </row>
    <row r="70" spans="1:6" s="429" customFormat="1" ht="15">
      <c r="A70" s="445"/>
      <c r="B70" s="241" t="s">
        <v>17</v>
      </c>
      <c r="C70" s="405" t="s">
        <v>218</v>
      </c>
      <c r="D70" s="37">
        <v>1666</v>
      </c>
      <c r="E70" s="428"/>
      <c r="F70" s="87"/>
    </row>
    <row r="71" spans="1:6" s="429" customFormat="1" ht="15">
      <c r="A71" s="445"/>
      <c r="B71" s="407" t="s">
        <v>18</v>
      </c>
      <c r="C71" s="405" t="s">
        <v>6</v>
      </c>
      <c r="D71" s="37">
        <v>401</v>
      </c>
      <c r="E71" s="428"/>
      <c r="F71" s="87"/>
    </row>
    <row r="72" spans="1:5" ht="15">
      <c r="A72" s="411"/>
      <c r="B72" s="241" t="s">
        <v>209</v>
      </c>
      <c r="C72" s="389" t="s">
        <v>199</v>
      </c>
      <c r="D72" s="37">
        <v>-2767</v>
      </c>
      <c r="E72" s="388"/>
    </row>
    <row r="73" spans="1:5" ht="15">
      <c r="A73" s="411"/>
      <c r="B73" s="241" t="s">
        <v>211</v>
      </c>
      <c r="C73" s="127" t="s">
        <v>341</v>
      </c>
      <c r="D73" s="37">
        <v>700</v>
      </c>
      <c r="E73" s="388"/>
    </row>
    <row r="74" spans="1:5" ht="77.25" customHeight="1">
      <c r="A74" s="391" t="s">
        <v>595</v>
      </c>
      <c r="B74" s="426" t="s">
        <v>390</v>
      </c>
      <c r="C74" s="405"/>
      <c r="D74" s="376">
        <f>SUM(D75:D75)</f>
        <v>87016</v>
      </c>
      <c r="E74" s="106" t="s">
        <v>719</v>
      </c>
    </row>
    <row r="75" spans="1:5" ht="15">
      <c r="A75" s="411"/>
      <c r="B75" s="241" t="s">
        <v>210</v>
      </c>
      <c r="C75" s="405" t="s">
        <v>204</v>
      </c>
      <c r="D75" s="37">
        <v>87016</v>
      </c>
      <c r="E75" s="388"/>
    </row>
    <row r="76" spans="1:5" ht="29.25" customHeight="1">
      <c r="A76" s="391" t="s">
        <v>160</v>
      </c>
      <c r="B76" s="377" t="s">
        <v>280</v>
      </c>
      <c r="C76" s="389"/>
      <c r="D76" s="449">
        <f>SUM(D77:D78)</f>
        <v>25000</v>
      </c>
      <c r="E76" s="106" t="s">
        <v>709</v>
      </c>
    </row>
    <row r="77" spans="1:5" ht="15">
      <c r="A77" s="509"/>
      <c r="B77" s="241" t="s">
        <v>209</v>
      </c>
      <c r="C77" s="389" t="s">
        <v>199</v>
      </c>
      <c r="D77" s="130">
        <v>-4000</v>
      </c>
      <c r="E77" s="361"/>
    </row>
    <row r="78" spans="1:5" ht="15">
      <c r="A78" s="487"/>
      <c r="B78" s="378" t="s">
        <v>211</v>
      </c>
      <c r="C78" s="127" t="s">
        <v>341</v>
      </c>
      <c r="D78" s="130">
        <f>4000+25000</f>
        <v>29000</v>
      </c>
      <c r="E78" s="361"/>
    </row>
    <row r="79" spans="1:5" ht="45">
      <c r="A79" s="391" t="s">
        <v>492</v>
      </c>
      <c r="B79" s="393" t="s">
        <v>484</v>
      </c>
      <c r="C79" s="405"/>
      <c r="D79" s="376">
        <f>SUM(D80:D81)</f>
        <v>0</v>
      </c>
      <c r="E79" s="106" t="s">
        <v>20</v>
      </c>
    </row>
    <row r="80" spans="1:5" ht="15">
      <c r="A80" s="391"/>
      <c r="B80" s="407" t="s">
        <v>209</v>
      </c>
      <c r="C80" s="389" t="s">
        <v>199</v>
      </c>
      <c r="D80" s="37">
        <v>-1000</v>
      </c>
      <c r="E80" s="420"/>
    </row>
    <row r="81" spans="1:5" ht="17.25" customHeight="1">
      <c r="A81" s="408"/>
      <c r="B81" s="241" t="s">
        <v>211</v>
      </c>
      <c r="C81" s="127" t="s">
        <v>341</v>
      </c>
      <c r="D81" s="37">
        <v>1000</v>
      </c>
      <c r="E81" s="420"/>
    </row>
    <row r="82" spans="1:5" ht="15">
      <c r="A82" s="431" t="s">
        <v>7</v>
      </c>
      <c r="B82" s="417" t="s">
        <v>116</v>
      </c>
      <c r="C82" s="170" t="s">
        <v>7</v>
      </c>
      <c r="D82" s="540">
        <f>D83+D106+D110+D123+D136</f>
        <v>54528</v>
      </c>
      <c r="E82" s="432"/>
    </row>
    <row r="83" spans="1:5" ht="15">
      <c r="A83" s="433" t="s">
        <v>9</v>
      </c>
      <c r="B83" s="419" t="s">
        <v>117</v>
      </c>
      <c r="C83" s="405"/>
      <c r="D83" s="434">
        <f>SUM(D84+D88+D91+D95+D99+D103)</f>
        <v>-816</v>
      </c>
      <c r="E83" s="109"/>
    </row>
    <row r="84" spans="1:5" ht="15">
      <c r="A84" s="383" t="s">
        <v>422</v>
      </c>
      <c r="B84" s="384" t="s">
        <v>284</v>
      </c>
      <c r="C84" s="385"/>
      <c r="D84" s="376">
        <f>SUM(D85:D87)</f>
        <v>0</v>
      </c>
      <c r="E84" s="106" t="s">
        <v>20</v>
      </c>
    </row>
    <row r="85" spans="1:5" ht="15">
      <c r="A85" s="383"/>
      <c r="B85" s="407" t="s">
        <v>209</v>
      </c>
      <c r="C85" s="389" t="s">
        <v>199</v>
      </c>
      <c r="D85" s="37">
        <f>-3304</f>
        <v>-3304</v>
      </c>
      <c r="E85" s="106"/>
    </row>
    <row r="86" spans="1:5" ht="15">
      <c r="A86" s="383"/>
      <c r="B86" s="241" t="s">
        <v>211</v>
      </c>
      <c r="C86" s="405" t="s">
        <v>341</v>
      </c>
      <c r="D86" s="37">
        <v>-89</v>
      </c>
      <c r="E86" s="394"/>
    </row>
    <row r="87" spans="1:5" ht="15">
      <c r="A87" s="383"/>
      <c r="B87" s="241" t="s">
        <v>210</v>
      </c>
      <c r="C87" s="127" t="s">
        <v>204</v>
      </c>
      <c r="D87" s="37">
        <v>3393</v>
      </c>
      <c r="E87" s="394"/>
    </row>
    <row r="88" spans="1:5" ht="15">
      <c r="A88" s="386" t="s">
        <v>420</v>
      </c>
      <c r="B88" s="242" t="s">
        <v>286</v>
      </c>
      <c r="C88" s="405"/>
      <c r="D88" s="376">
        <f>SUM(D89:D90)</f>
        <v>0</v>
      </c>
      <c r="E88" s="109" t="s">
        <v>20</v>
      </c>
    </row>
    <row r="89" spans="1:5" ht="15">
      <c r="A89" s="386"/>
      <c r="B89" s="407" t="s">
        <v>209</v>
      </c>
      <c r="C89" s="389" t="s">
        <v>199</v>
      </c>
      <c r="D89" s="37">
        <v>-80</v>
      </c>
      <c r="E89" s="185"/>
    </row>
    <row r="90" spans="1:5" ht="15">
      <c r="A90" s="386"/>
      <c r="B90" s="241" t="s">
        <v>211</v>
      </c>
      <c r="C90" s="405" t="s">
        <v>341</v>
      </c>
      <c r="D90" s="37">
        <v>80</v>
      </c>
      <c r="E90" s="394"/>
    </row>
    <row r="91" spans="1:5" s="387" customFormat="1" ht="15">
      <c r="A91" s="386" t="s">
        <v>216</v>
      </c>
      <c r="B91" s="393" t="s">
        <v>287</v>
      </c>
      <c r="C91" s="405"/>
      <c r="D91" s="376">
        <f>SUM(D92:D94)</f>
        <v>0</v>
      </c>
      <c r="E91" s="109" t="s">
        <v>20</v>
      </c>
    </row>
    <row r="92" spans="1:5" s="387" customFormat="1" ht="15">
      <c r="A92" s="386"/>
      <c r="B92" s="407" t="s">
        <v>209</v>
      </c>
      <c r="C92" s="389" t="s">
        <v>199</v>
      </c>
      <c r="D92" s="37">
        <v>-1850</v>
      </c>
      <c r="E92" s="185"/>
    </row>
    <row r="93" spans="1:5" s="387" customFormat="1" ht="15">
      <c r="A93" s="386"/>
      <c r="B93" s="407" t="s">
        <v>211</v>
      </c>
      <c r="C93" s="405" t="s">
        <v>341</v>
      </c>
      <c r="D93" s="37">
        <v>1150</v>
      </c>
      <c r="E93" s="394"/>
    </row>
    <row r="94" spans="1:5" s="387" customFormat="1" ht="15">
      <c r="A94" s="386"/>
      <c r="B94" s="407" t="s">
        <v>210</v>
      </c>
      <c r="C94" s="127" t="s">
        <v>204</v>
      </c>
      <c r="D94" s="37">
        <v>700</v>
      </c>
      <c r="E94" s="394"/>
    </row>
    <row r="95" spans="1:5" s="387" customFormat="1" ht="15">
      <c r="A95" s="386" t="s">
        <v>421</v>
      </c>
      <c r="B95" s="393" t="s">
        <v>288</v>
      </c>
      <c r="C95" s="405"/>
      <c r="D95" s="376">
        <f>SUM(D96:D98)</f>
        <v>0</v>
      </c>
      <c r="E95" s="109" t="s">
        <v>20</v>
      </c>
    </row>
    <row r="96" spans="1:5" s="387" customFormat="1" ht="15">
      <c r="A96" s="386"/>
      <c r="B96" s="407" t="s">
        <v>209</v>
      </c>
      <c r="C96" s="389" t="s">
        <v>199</v>
      </c>
      <c r="D96" s="424">
        <v>-18</v>
      </c>
      <c r="E96" s="185"/>
    </row>
    <row r="97" spans="1:5" s="387" customFormat="1" ht="15">
      <c r="A97" s="386"/>
      <c r="B97" s="407" t="s">
        <v>211</v>
      </c>
      <c r="C97" s="405" t="s">
        <v>341</v>
      </c>
      <c r="D97" s="37">
        <v>-200</v>
      </c>
      <c r="E97" s="185"/>
    </row>
    <row r="98" spans="1:5" s="387" customFormat="1" ht="15">
      <c r="A98" s="386"/>
      <c r="B98" s="407" t="s">
        <v>210</v>
      </c>
      <c r="C98" s="127" t="s">
        <v>204</v>
      </c>
      <c r="D98" s="37">
        <v>218</v>
      </c>
      <c r="E98" s="185"/>
    </row>
    <row r="99" spans="1:5" s="387" customFormat="1" ht="30">
      <c r="A99" s="386" t="s">
        <v>670</v>
      </c>
      <c r="B99" s="393" t="s">
        <v>671</v>
      </c>
      <c r="C99" s="127"/>
      <c r="D99" s="376">
        <f>SUM(D100:D102)</f>
        <v>-816</v>
      </c>
      <c r="E99" s="109" t="s">
        <v>691</v>
      </c>
    </row>
    <row r="100" spans="1:5" s="387" customFormat="1" ht="15">
      <c r="A100" s="386"/>
      <c r="B100" s="407" t="s">
        <v>209</v>
      </c>
      <c r="C100" s="389" t="s">
        <v>199</v>
      </c>
      <c r="D100" s="37">
        <v>-10066</v>
      </c>
      <c r="E100" s="185"/>
    </row>
    <row r="101" spans="1:5" s="387" customFormat="1" ht="15">
      <c r="A101" s="386"/>
      <c r="B101" s="407" t="s">
        <v>211</v>
      </c>
      <c r="C101" s="405" t="s">
        <v>341</v>
      </c>
      <c r="D101" s="37">
        <v>6200</v>
      </c>
      <c r="E101" s="185"/>
    </row>
    <row r="102" spans="1:5" s="387" customFormat="1" ht="15">
      <c r="A102" s="386"/>
      <c r="B102" s="407" t="s">
        <v>210</v>
      </c>
      <c r="C102" s="127" t="s">
        <v>204</v>
      </c>
      <c r="D102" s="37">
        <v>3050</v>
      </c>
      <c r="E102" s="185"/>
    </row>
    <row r="103" spans="1:5" s="387" customFormat="1" ht="15">
      <c r="A103" s="386" t="s">
        <v>673</v>
      </c>
      <c r="B103" s="393" t="s">
        <v>672</v>
      </c>
      <c r="C103" s="127"/>
      <c r="D103" s="376">
        <f>SUM(D104:D105)</f>
        <v>0</v>
      </c>
      <c r="E103" s="109" t="s">
        <v>20</v>
      </c>
    </row>
    <row r="104" spans="1:5" s="387" customFormat="1" ht="15">
      <c r="A104" s="386"/>
      <c r="B104" s="407" t="s">
        <v>211</v>
      </c>
      <c r="C104" s="405" t="s">
        <v>341</v>
      </c>
      <c r="D104" s="37">
        <v>200</v>
      </c>
      <c r="E104" s="185"/>
    </row>
    <row r="105" spans="1:5" s="387" customFormat="1" ht="15">
      <c r="A105" s="386"/>
      <c r="B105" s="407" t="s">
        <v>210</v>
      </c>
      <c r="C105" s="127" t="s">
        <v>204</v>
      </c>
      <c r="D105" s="37">
        <v>-200</v>
      </c>
      <c r="E105" s="185"/>
    </row>
    <row r="106" spans="1:5" s="387" customFormat="1" ht="15">
      <c r="A106" s="435" t="s">
        <v>236</v>
      </c>
      <c r="B106" s="393" t="s">
        <v>125</v>
      </c>
      <c r="C106" s="405"/>
      <c r="D106" s="376">
        <f>SUM(D107:D109)</f>
        <v>0</v>
      </c>
      <c r="E106" s="109" t="s">
        <v>20</v>
      </c>
    </row>
    <row r="107" spans="1:5" s="387" customFormat="1" ht="15">
      <c r="A107" s="435"/>
      <c r="B107" s="241" t="s">
        <v>209</v>
      </c>
      <c r="C107" s="127" t="s">
        <v>199</v>
      </c>
      <c r="D107" s="37">
        <v>-150</v>
      </c>
      <c r="E107" s="109"/>
    </row>
    <row r="108" spans="1:5" s="387" customFormat="1" ht="15">
      <c r="A108" s="435"/>
      <c r="B108" s="407" t="s">
        <v>211</v>
      </c>
      <c r="C108" s="405" t="s">
        <v>341</v>
      </c>
      <c r="D108" s="37">
        <v>-2472</v>
      </c>
      <c r="E108" s="109"/>
    </row>
    <row r="109" spans="1:5" s="387" customFormat="1" ht="15">
      <c r="A109" s="433"/>
      <c r="B109" s="241" t="s">
        <v>210</v>
      </c>
      <c r="C109" s="127" t="s">
        <v>204</v>
      </c>
      <c r="D109" s="37">
        <v>2622</v>
      </c>
      <c r="E109" s="394"/>
    </row>
    <row r="110" spans="1:5" ht="15">
      <c r="A110" s="433" t="s">
        <v>142</v>
      </c>
      <c r="B110" s="419" t="s">
        <v>124</v>
      </c>
      <c r="C110" s="405"/>
      <c r="D110" s="434">
        <f>D111+D115+D119+D121</f>
        <v>10100</v>
      </c>
      <c r="E110" s="106"/>
    </row>
    <row r="111" spans="1:5" ht="30">
      <c r="A111" s="436" t="s">
        <v>126</v>
      </c>
      <c r="B111" s="419" t="s">
        <v>295</v>
      </c>
      <c r="C111" s="405"/>
      <c r="D111" s="376">
        <f>SUM(D112:D114)</f>
        <v>2530</v>
      </c>
      <c r="E111" s="185" t="s">
        <v>685</v>
      </c>
    </row>
    <row r="112" spans="1:5" ht="15">
      <c r="A112" s="436"/>
      <c r="B112" s="407" t="s">
        <v>209</v>
      </c>
      <c r="C112" s="389" t="s">
        <v>199</v>
      </c>
      <c r="D112" s="37">
        <v>2104</v>
      </c>
      <c r="E112" s="109"/>
    </row>
    <row r="113" spans="1:5" ht="15">
      <c r="A113" s="433"/>
      <c r="B113" s="241" t="s">
        <v>211</v>
      </c>
      <c r="C113" s="405" t="s">
        <v>341</v>
      </c>
      <c r="D113" s="37">
        <v>-4698</v>
      </c>
      <c r="E113" s="185"/>
    </row>
    <row r="114" spans="1:5" ht="15">
      <c r="A114" s="433"/>
      <c r="B114" s="241" t="s">
        <v>210</v>
      </c>
      <c r="C114" s="127" t="s">
        <v>204</v>
      </c>
      <c r="D114" s="37">
        <f>2530+2594</f>
        <v>5124</v>
      </c>
      <c r="E114" s="185"/>
    </row>
    <row r="115" spans="1:5" ht="15">
      <c r="A115" s="436" t="s">
        <v>686</v>
      </c>
      <c r="B115" s="393" t="s">
        <v>296</v>
      </c>
      <c r="C115" s="127"/>
      <c r="D115" s="376">
        <f>SUM(D116:D118)</f>
        <v>0</v>
      </c>
      <c r="E115" s="109" t="s">
        <v>20</v>
      </c>
    </row>
    <row r="116" spans="1:5" ht="15">
      <c r="A116" s="433"/>
      <c r="B116" s="241" t="s">
        <v>209</v>
      </c>
      <c r="C116" s="127" t="s">
        <v>199</v>
      </c>
      <c r="D116" s="37">
        <v>1760</v>
      </c>
      <c r="E116" s="184"/>
    </row>
    <row r="117" spans="1:5" ht="15">
      <c r="A117" s="433"/>
      <c r="B117" s="407" t="s">
        <v>211</v>
      </c>
      <c r="C117" s="405" t="s">
        <v>341</v>
      </c>
      <c r="D117" s="37">
        <v>886</v>
      </c>
      <c r="E117" s="184"/>
    </row>
    <row r="118" spans="1:5" ht="15">
      <c r="A118" s="433"/>
      <c r="B118" s="241" t="s">
        <v>210</v>
      </c>
      <c r="C118" s="127" t="s">
        <v>204</v>
      </c>
      <c r="D118" s="37">
        <v>-2646</v>
      </c>
      <c r="E118" s="184"/>
    </row>
    <row r="119" spans="1:5" ht="15">
      <c r="A119" s="436" t="s">
        <v>127</v>
      </c>
      <c r="B119" s="393" t="s">
        <v>298</v>
      </c>
      <c r="C119" s="405"/>
      <c r="D119" s="376">
        <f>SUM(D120:D120)</f>
        <v>3570</v>
      </c>
      <c r="E119" s="185" t="s">
        <v>707</v>
      </c>
    </row>
    <row r="120" spans="1:5" ht="15">
      <c r="A120" s="436"/>
      <c r="B120" s="407" t="s">
        <v>210</v>
      </c>
      <c r="C120" s="405" t="s">
        <v>204</v>
      </c>
      <c r="D120" s="37">
        <f>3570</f>
        <v>3570</v>
      </c>
      <c r="E120" s="185"/>
    </row>
    <row r="121" spans="1:5" ht="15">
      <c r="A121" s="436" t="s">
        <v>128</v>
      </c>
      <c r="B121" s="393" t="s">
        <v>299</v>
      </c>
      <c r="C121" s="405"/>
      <c r="D121" s="53">
        <f>SUM(D122:D122)</f>
        <v>4000</v>
      </c>
      <c r="E121" s="185" t="s">
        <v>684</v>
      </c>
    </row>
    <row r="122" spans="1:5" ht="15">
      <c r="A122" s="436"/>
      <c r="B122" s="241" t="s">
        <v>210</v>
      </c>
      <c r="C122" s="405" t="s">
        <v>204</v>
      </c>
      <c r="D122" s="37">
        <v>4000</v>
      </c>
      <c r="E122" s="185"/>
    </row>
    <row r="123" spans="1:5" s="439" customFormat="1" ht="27.75" customHeight="1">
      <c r="A123" s="409" t="s">
        <v>130</v>
      </c>
      <c r="B123" s="393" t="s">
        <v>129</v>
      </c>
      <c r="C123" s="436"/>
      <c r="D123" s="437">
        <f>D124+D127+D133</f>
        <v>15869</v>
      </c>
      <c r="E123" s="438"/>
    </row>
    <row r="124" spans="1:5" s="440" customFormat="1" ht="15">
      <c r="A124" s="391" t="s">
        <v>16</v>
      </c>
      <c r="B124" s="242" t="s">
        <v>305</v>
      </c>
      <c r="C124" s="438"/>
      <c r="D124" s="375">
        <f>SUM(D125:D126)</f>
        <v>15869</v>
      </c>
      <c r="E124" s="109" t="s">
        <v>710</v>
      </c>
    </row>
    <row r="125" spans="1:5" s="440" customFormat="1" ht="15">
      <c r="A125" s="391"/>
      <c r="B125" s="407" t="s">
        <v>17</v>
      </c>
      <c r="C125" s="405" t="s">
        <v>218</v>
      </c>
      <c r="D125" s="395">
        <v>12773</v>
      </c>
      <c r="E125" s="109"/>
    </row>
    <row r="126" spans="1:5" s="439" customFormat="1" ht="15">
      <c r="A126" s="422"/>
      <c r="B126" s="407" t="s">
        <v>18</v>
      </c>
      <c r="C126" s="405" t="s">
        <v>6</v>
      </c>
      <c r="D126" s="395">
        <v>3096</v>
      </c>
      <c r="E126" s="109"/>
    </row>
    <row r="127" spans="1:5" s="439" customFormat="1" ht="15">
      <c r="A127" s="422" t="s">
        <v>131</v>
      </c>
      <c r="B127" s="242" t="s">
        <v>307</v>
      </c>
      <c r="C127" s="405"/>
      <c r="D127" s="375">
        <f>SUM(D128:D132)</f>
        <v>0</v>
      </c>
      <c r="E127" s="106" t="s">
        <v>20</v>
      </c>
    </row>
    <row r="128" spans="1:5" s="439" customFormat="1" ht="15">
      <c r="A128" s="422"/>
      <c r="B128" s="407" t="s">
        <v>17</v>
      </c>
      <c r="C128" s="405" t="s">
        <v>218</v>
      </c>
      <c r="D128" s="395">
        <v>1500</v>
      </c>
      <c r="E128" s="184"/>
    </row>
    <row r="129" spans="1:5" s="439" customFormat="1" ht="15">
      <c r="A129" s="422"/>
      <c r="B129" s="407" t="s">
        <v>18</v>
      </c>
      <c r="C129" s="405" t="s">
        <v>6</v>
      </c>
      <c r="D129" s="395">
        <v>361</v>
      </c>
      <c r="E129" s="106"/>
    </row>
    <row r="130" spans="1:5" s="439" customFormat="1" ht="15">
      <c r="A130" s="422"/>
      <c r="B130" s="241" t="s">
        <v>209</v>
      </c>
      <c r="C130" s="127" t="s">
        <v>199</v>
      </c>
      <c r="D130" s="395">
        <v>-1311</v>
      </c>
      <c r="E130" s="106"/>
    </row>
    <row r="131" spans="1:5" s="439" customFormat="1" ht="15">
      <c r="A131" s="422"/>
      <c r="B131" s="241" t="s">
        <v>211</v>
      </c>
      <c r="C131" s="405" t="s">
        <v>341</v>
      </c>
      <c r="D131" s="395">
        <v>-200</v>
      </c>
      <c r="E131" s="106"/>
    </row>
    <row r="132" spans="1:5" s="439" customFormat="1" ht="15">
      <c r="A132" s="422"/>
      <c r="B132" s="241" t="s">
        <v>525</v>
      </c>
      <c r="C132" s="405" t="s">
        <v>153</v>
      </c>
      <c r="D132" s="395">
        <v>-350</v>
      </c>
      <c r="E132" s="106"/>
    </row>
    <row r="133" spans="1:5" s="439" customFormat="1" ht="15">
      <c r="A133" s="422" t="s">
        <v>133</v>
      </c>
      <c r="B133" s="242" t="s">
        <v>309</v>
      </c>
      <c r="C133" s="405"/>
      <c r="D133" s="375">
        <f>SUM(D134:D135)</f>
        <v>0</v>
      </c>
      <c r="E133" s="106" t="s">
        <v>20</v>
      </c>
    </row>
    <row r="134" spans="1:5" s="439" customFormat="1" ht="15">
      <c r="A134" s="422"/>
      <c r="B134" s="241" t="s">
        <v>209</v>
      </c>
      <c r="C134" s="127" t="s">
        <v>199</v>
      </c>
      <c r="D134" s="395">
        <v>350</v>
      </c>
      <c r="E134" s="106"/>
    </row>
    <row r="135" spans="1:5" s="439" customFormat="1" ht="15">
      <c r="A135" s="422"/>
      <c r="B135" s="241" t="s">
        <v>211</v>
      </c>
      <c r="C135" s="405" t="s">
        <v>341</v>
      </c>
      <c r="D135" s="395">
        <v>-350</v>
      </c>
      <c r="E135" s="106"/>
    </row>
    <row r="136" spans="1:5" s="440" customFormat="1" ht="29.25">
      <c r="A136" s="421" t="s">
        <v>340</v>
      </c>
      <c r="B136" s="242" t="s">
        <v>134</v>
      </c>
      <c r="C136" s="127"/>
      <c r="D136" s="54">
        <f>SUM(D137+D142+D144+D147+D150+D154+D159+D163)</f>
        <v>29375</v>
      </c>
      <c r="E136" s="185"/>
    </row>
    <row r="137" spans="1:5" s="440" customFormat="1" ht="30">
      <c r="A137" s="391" t="s">
        <v>524</v>
      </c>
      <c r="B137" s="393" t="s">
        <v>523</v>
      </c>
      <c r="C137" s="127"/>
      <c r="D137" s="375">
        <f>SUM(D138:D141)</f>
        <v>-1751</v>
      </c>
      <c r="E137" s="106" t="s">
        <v>717</v>
      </c>
    </row>
    <row r="138" spans="1:5" s="440" customFormat="1" ht="15">
      <c r="A138" s="421"/>
      <c r="B138" s="407" t="s">
        <v>18</v>
      </c>
      <c r="C138" s="405" t="s">
        <v>6</v>
      </c>
      <c r="D138" s="395">
        <v>84</v>
      </c>
      <c r="E138" s="185"/>
    </row>
    <row r="139" spans="1:5" s="440" customFormat="1" ht="15">
      <c r="A139" s="421"/>
      <c r="B139" s="241" t="s">
        <v>209</v>
      </c>
      <c r="C139" s="127" t="s">
        <v>199</v>
      </c>
      <c r="D139" s="395">
        <f>-1964-1751</f>
        <v>-3715</v>
      </c>
      <c r="E139" s="185"/>
    </row>
    <row r="140" spans="1:5" s="440" customFormat="1" ht="15">
      <c r="A140" s="421"/>
      <c r="B140" s="241" t="s">
        <v>211</v>
      </c>
      <c r="C140" s="405" t="s">
        <v>341</v>
      </c>
      <c r="D140" s="395">
        <v>1597</v>
      </c>
      <c r="E140" s="185"/>
    </row>
    <row r="141" spans="1:5" s="440" customFormat="1" ht="15">
      <c r="A141" s="421"/>
      <c r="B141" s="407" t="s">
        <v>210</v>
      </c>
      <c r="C141" s="405" t="s">
        <v>204</v>
      </c>
      <c r="D141" s="395">
        <v>283</v>
      </c>
      <c r="E141" s="184"/>
    </row>
    <row r="142" spans="1:5" s="440" customFormat="1" ht="45">
      <c r="A142" s="408" t="s">
        <v>683</v>
      </c>
      <c r="B142" s="393" t="s">
        <v>681</v>
      </c>
      <c r="C142" s="405"/>
      <c r="D142" s="375">
        <f>SUM(D143:D143)</f>
        <v>27613</v>
      </c>
      <c r="E142" s="109" t="s">
        <v>519</v>
      </c>
    </row>
    <row r="143" spans="1:5" s="440" customFormat="1" ht="15">
      <c r="A143" s="408"/>
      <c r="B143" s="241" t="s">
        <v>209</v>
      </c>
      <c r="C143" s="127" t="s">
        <v>199</v>
      </c>
      <c r="D143" s="395">
        <f>27139+474</f>
        <v>27613</v>
      </c>
      <c r="E143" s="185"/>
    </row>
    <row r="144" spans="1:5" s="440" customFormat="1" ht="75">
      <c r="A144" s="392" t="s">
        <v>675</v>
      </c>
      <c r="B144" s="393" t="s">
        <v>674</v>
      </c>
      <c r="C144" s="405"/>
      <c r="D144" s="375">
        <f>SUM(D145:D146)</f>
        <v>1870</v>
      </c>
      <c r="E144" s="109" t="s">
        <v>720</v>
      </c>
    </row>
    <row r="145" spans="1:5" s="440" customFormat="1" ht="15">
      <c r="A145" s="516"/>
      <c r="B145" s="407" t="s">
        <v>208</v>
      </c>
      <c r="C145" s="401" t="s">
        <v>198</v>
      </c>
      <c r="D145" s="395">
        <v>1770</v>
      </c>
      <c r="E145" s="184"/>
    </row>
    <row r="146" spans="1:5" s="440" customFormat="1" ht="15">
      <c r="A146" s="516"/>
      <c r="B146" s="241" t="s">
        <v>211</v>
      </c>
      <c r="C146" s="405" t="s">
        <v>341</v>
      </c>
      <c r="D146" s="395">
        <v>100</v>
      </c>
      <c r="E146" s="184"/>
    </row>
    <row r="147" spans="1:5" s="440" customFormat="1" ht="75">
      <c r="A147" s="392" t="s">
        <v>676</v>
      </c>
      <c r="B147" s="393" t="s">
        <v>677</v>
      </c>
      <c r="C147" s="405"/>
      <c r="D147" s="375">
        <f>SUM(D148:D149)</f>
        <v>1700</v>
      </c>
      <c r="E147" s="109" t="s">
        <v>721</v>
      </c>
    </row>
    <row r="148" spans="1:5" s="440" customFormat="1" ht="15">
      <c r="A148" s="516"/>
      <c r="B148" s="407" t="s">
        <v>208</v>
      </c>
      <c r="C148" s="401" t="s">
        <v>198</v>
      </c>
      <c r="D148" s="395">
        <v>1600</v>
      </c>
      <c r="E148" s="184"/>
    </row>
    <row r="149" spans="1:5" s="440" customFormat="1" ht="15">
      <c r="A149" s="516"/>
      <c r="B149" s="241" t="s">
        <v>211</v>
      </c>
      <c r="C149" s="405" t="s">
        <v>341</v>
      </c>
      <c r="D149" s="395">
        <v>100</v>
      </c>
      <c r="E149" s="184"/>
    </row>
    <row r="150" spans="1:5" s="440" customFormat="1" ht="75">
      <c r="A150" s="442" t="s">
        <v>481</v>
      </c>
      <c r="B150" s="393" t="s">
        <v>392</v>
      </c>
      <c r="C150" s="405"/>
      <c r="D150" s="375">
        <f>SUM(D151:D153)</f>
        <v>0</v>
      </c>
      <c r="E150" s="184" t="s">
        <v>702</v>
      </c>
    </row>
    <row r="151" spans="1:5" s="440" customFormat="1" ht="15">
      <c r="A151" s="516"/>
      <c r="B151" s="407" t="s">
        <v>208</v>
      </c>
      <c r="C151" s="401" t="s">
        <v>198</v>
      </c>
      <c r="D151" s="395">
        <v>-532</v>
      </c>
      <c r="E151" s="184"/>
    </row>
    <row r="152" spans="1:5" s="440" customFormat="1" ht="15">
      <c r="A152" s="516"/>
      <c r="B152" s="241" t="s">
        <v>209</v>
      </c>
      <c r="C152" s="127" t="s">
        <v>199</v>
      </c>
      <c r="D152" s="395">
        <v>1022</v>
      </c>
      <c r="E152" s="184"/>
    </row>
    <row r="153" spans="1:5" s="440" customFormat="1" ht="15">
      <c r="A153" s="516"/>
      <c r="B153" s="241" t="s">
        <v>211</v>
      </c>
      <c r="C153" s="405" t="s">
        <v>341</v>
      </c>
      <c r="D153" s="395">
        <v>-490</v>
      </c>
      <c r="E153" s="184"/>
    </row>
    <row r="154" spans="1:5" s="440" customFormat="1" ht="45">
      <c r="A154" s="469" t="s">
        <v>394</v>
      </c>
      <c r="B154" s="393" t="s">
        <v>393</v>
      </c>
      <c r="C154" s="405"/>
      <c r="D154" s="375">
        <f>SUM(D155:D158)</f>
        <v>-57</v>
      </c>
      <c r="E154" s="106" t="s">
        <v>680</v>
      </c>
    </row>
    <row r="155" spans="1:5" s="440" customFormat="1" ht="15">
      <c r="A155" s="469"/>
      <c r="B155" s="407" t="s">
        <v>17</v>
      </c>
      <c r="C155" s="405" t="s">
        <v>218</v>
      </c>
      <c r="D155" s="395">
        <v>500</v>
      </c>
      <c r="E155" s="106"/>
    </row>
    <row r="156" spans="1:5" s="440" customFormat="1" ht="15">
      <c r="A156" s="469"/>
      <c r="B156" s="407" t="s">
        <v>18</v>
      </c>
      <c r="C156" s="405" t="s">
        <v>6</v>
      </c>
      <c r="D156" s="395">
        <v>25</v>
      </c>
      <c r="E156" s="106"/>
    </row>
    <row r="157" spans="1:5" s="440" customFormat="1" ht="15">
      <c r="A157" s="469"/>
      <c r="B157" s="241" t="s">
        <v>209</v>
      </c>
      <c r="C157" s="127" t="s">
        <v>199</v>
      </c>
      <c r="D157" s="395">
        <f>-57-725</f>
        <v>-782</v>
      </c>
      <c r="E157" s="184"/>
    </row>
    <row r="158" spans="1:5" s="440" customFormat="1" ht="15">
      <c r="A158" s="408"/>
      <c r="B158" s="241" t="s">
        <v>211</v>
      </c>
      <c r="C158" s="405" t="s">
        <v>341</v>
      </c>
      <c r="D158" s="395">
        <v>200</v>
      </c>
      <c r="E158" s="184"/>
    </row>
    <row r="159" spans="1:5" s="440" customFormat="1" ht="45">
      <c r="A159" s="392" t="s">
        <v>396</v>
      </c>
      <c r="B159" s="242" t="s">
        <v>395</v>
      </c>
      <c r="C159" s="127"/>
      <c r="D159" s="375">
        <f>SUM(D160:D162)</f>
        <v>0</v>
      </c>
      <c r="E159" s="106" t="s">
        <v>20</v>
      </c>
    </row>
    <row r="160" spans="1:5" s="440" customFormat="1" ht="15">
      <c r="A160" s="411"/>
      <c r="B160" s="407" t="s">
        <v>17</v>
      </c>
      <c r="C160" s="405" t="s">
        <v>218</v>
      </c>
      <c r="D160" s="395">
        <v>350</v>
      </c>
      <c r="E160" s="106"/>
    </row>
    <row r="161" spans="1:5" s="440" customFormat="1" ht="15">
      <c r="A161" s="411"/>
      <c r="B161" s="407" t="s">
        <v>18</v>
      </c>
      <c r="C161" s="405" t="s">
        <v>6</v>
      </c>
      <c r="D161" s="395">
        <v>84</v>
      </c>
      <c r="E161" s="106"/>
    </row>
    <row r="162" spans="1:5" s="440" customFormat="1" ht="15">
      <c r="A162" s="408"/>
      <c r="B162" s="241" t="s">
        <v>210</v>
      </c>
      <c r="C162" s="413" t="s">
        <v>237</v>
      </c>
      <c r="D162" s="395">
        <v>-434</v>
      </c>
      <c r="E162" s="185"/>
    </row>
    <row r="163" spans="1:5" s="439" customFormat="1" ht="75">
      <c r="A163" s="411" t="s">
        <v>418</v>
      </c>
      <c r="B163" s="393" t="s">
        <v>419</v>
      </c>
      <c r="C163" s="127"/>
      <c r="D163" s="376">
        <f>SUM(D164:D165)</f>
        <v>0</v>
      </c>
      <c r="E163" s="106" t="s">
        <v>20</v>
      </c>
    </row>
    <row r="164" spans="1:5" s="439" customFormat="1" ht="15">
      <c r="A164" s="411"/>
      <c r="B164" s="541" t="s">
        <v>209</v>
      </c>
      <c r="C164" s="427" t="s">
        <v>199</v>
      </c>
      <c r="D164" s="424">
        <v>600</v>
      </c>
      <c r="E164" s="394"/>
    </row>
    <row r="165" spans="1:5" s="439" customFormat="1" ht="15">
      <c r="A165" s="411"/>
      <c r="B165" s="541" t="s">
        <v>211</v>
      </c>
      <c r="C165" s="427" t="s">
        <v>341</v>
      </c>
      <c r="D165" s="424">
        <v>-600</v>
      </c>
      <c r="E165" s="394"/>
    </row>
    <row r="166" spans="1:5" ht="15">
      <c r="A166" s="431" t="s">
        <v>135</v>
      </c>
      <c r="B166" s="542" t="s">
        <v>15</v>
      </c>
      <c r="C166" s="543" t="s">
        <v>135</v>
      </c>
      <c r="D166" s="540">
        <f>SUM(D169+D167,D172,D175)</f>
        <v>68700</v>
      </c>
      <c r="E166" s="127"/>
    </row>
    <row r="167" spans="1:5" ht="15" hidden="1">
      <c r="A167" s="442" t="s">
        <v>423</v>
      </c>
      <c r="B167" s="430" t="s">
        <v>314</v>
      </c>
      <c r="C167" s="427"/>
      <c r="D167" s="382">
        <f>SUM(D168:D168)</f>
        <v>0</v>
      </c>
      <c r="E167" s="420"/>
    </row>
    <row r="168" spans="1:5" ht="15" hidden="1">
      <c r="A168" s="479"/>
      <c r="B168" s="541" t="s">
        <v>209</v>
      </c>
      <c r="C168" s="428" t="s">
        <v>199</v>
      </c>
      <c r="D168" s="544"/>
      <c r="E168" s="389"/>
    </row>
    <row r="169" spans="1:5" ht="30">
      <c r="A169" s="391" t="s">
        <v>232</v>
      </c>
      <c r="B169" s="430" t="s">
        <v>557</v>
      </c>
      <c r="C169" s="428"/>
      <c r="D169" s="382">
        <f>SUM(D170:D171)</f>
        <v>0</v>
      </c>
      <c r="E169" s="389" t="s">
        <v>20</v>
      </c>
    </row>
    <row r="170" spans="1:5" ht="15">
      <c r="A170" s="442"/>
      <c r="B170" s="541" t="s">
        <v>209</v>
      </c>
      <c r="C170" s="427" t="s">
        <v>199</v>
      </c>
      <c r="D170" s="544">
        <v>200</v>
      </c>
      <c r="E170" s="389"/>
    </row>
    <row r="171" spans="1:5" ht="15">
      <c r="A171" s="442"/>
      <c r="B171" s="541" t="s">
        <v>211</v>
      </c>
      <c r="C171" s="427" t="s">
        <v>341</v>
      </c>
      <c r="D171" s="544">
        <v>-200</v>
      </c>
      <c r="E171" s="389"/>
    </row>
    <row r="172" spans="1:5" ht="45">
      <c r="A172" s="422" t="s">
        <v>486</v>
      </c>
      <c r="B172" s="430" t="s">
        <v>485</v>
      </c>
      <c r="C172" s="545"/>
      <c r="D172" s="382">
        <f>SUM(D173:D174)</f>
        <v>53800</v>
      </c>
      <c r="E172" s="389" t="s">
        <v>650</v>
      </c>
    </row>
    <row r="173" spans="1:5" ht="15">
      <c r="A173" s="436"/>
      <c r="B173" s="541" t="s">
        <v>209</v>
      </c>
      <c r="C173" s="427" t="s">
        <v>199</v>
      </c>
      <c r="D173" s="424">
        <v>51000</v>
      </c>
      <c r="E173" s="109"/>
    </row>
    <row r="174" spans="1:5" ht="15">
      <c r="A174" s="436"/>
      <c r="B174" s="541" t="s">
        <v>211</v>
      </c>
      <c r="C174" s="427" t="s">
        <v>341</v>
      </c>
      <c r="D174" s="424">
        <v>2800</v>
      </c>
      <c r="E174" s="109"/>
    </row>
    <row r="175" spans="1:5" ht="15">
      <c r="A175" s="436" t="s">
        <v>631</v>
      </c>
      <c r="B175" s="430" t="s">
        <v>318</v>
      </c>
      <c r="C175" s="427"/>
      <c r="D175" s="382">
        <f>D176</f>
        <v>14900</v>
      </c>
      <c r="E175" s="109"/>
    </row>
    <row r="176" spans="1:8" ht="30">
      <c r="A176" s="436"/>
      <c r="B176" s="541" t="s">
        <v>342</v>
      </c>
      <c r="C176" s="428" t="s">
        <v>344</v>
      </c>
      <c r="D176" s="424">
        <v>14900</v>
      </c>
      <c r="E176" s="109" t="s">
        <v>723</v>
      </c>
      <c r="F176" s="447"/>
      <c r="G176" s="447"/>
      <c r="H176" s="447"/>
    </row>
    <row r="177" spans="1:5" ht="15">
      <c r="A177" s="405" t="s">
        <v>155</v>
      </c>
      <c r="B177" s="541"/>
      <c r="C177" s="427"/>
      <c r="D177" s="540">
        <f>1924822+2838</f>
        <v>1927660</v>
      </c>
      <c r="E177" s="127"/>
    </row>
    <row r="178" spans="1:5" s="443" customFormat="1" ht="14.25">
      <c r="A178" s="431"/>
      <c r="B178" s="542"/>
      <c r="C178" s="546" t="s">
        <v>19</v>
      </c>
      <c r="D178" s="540">
        <f>D5+D12+D13+D36+D42+D60+D65+D82+D166+D177</f>
        <v>2046872</v>
      </c>
      <c r="E178" s="53"/>
    </row>
    <row r="179" spans="1:4" ht="15">
      <c r="A179" s="208" t="s">
        <v>34</v>
      </c>
      <c r="B179" s="547" t="s">
        <v>196</v>
      </c>
      <c r="C179" s="429"/>
      <c r="D179" s="548">
        <f>D190</f>
        <v>622918</v>
      </c>
    </row>
    <row r="180" spans="1:3" ht="15">
      <c r="A180" s="555"/>
      <c r="B180" s="555"/>
      <c r="C180" s="447"/>
    </row>
    <row r="181" ht="15">
      <c r="D181" s="104"/>
    </row>
    <row r="182" ht="15">
      <c r="D182" s="104"/>
    </row>
    <row r="183" ht="15">
      <c r="D183" s="444"/>
    </row>
    <row r="184" spans="4:5" ht="15">
      <c r="D184" s="444"/>
      <c r="E184" s="88"/>
    </row>
    <row r="185" ht="15">
      <c r="D185" s="444"/>
    </row>
    <row r="186" spans="1:4" ht="63">
      <c r="A186" s="556" t="s">
        <v>646</v>
      </c>
      <c r="B186" s="556"/>
      <c r="C186" s="556"/>
      <c r="D186" s="493" t="s">
        <v>647</v>
      </c>
    </row>
    <row r="187" spans="1:4" ht="30.75" customHeight="1">
      <c r="A187" s="557" t="s">
        <v>712</v>
      </c>
      <c r="B187" s="557"/>
      <c r="C187" s="557"/>
      <c r="D187" s="37">
        <v>492056</v>
      </c>
    </row>
    <row r="188" spans="1:4" ht="30.75" customHeight="1">
      <c r="A188" s="559" t="s">
        <v>713</v>
      </c>
      <c r="B188" s="559"/>
      <c r="C188" s="560"/>
      <c r="D188" s="37">
        <v>130862</v>
      </c>
    </row>
    <row r="189" spans="1:4" ht="30.75" customHeight="1">
      <c r="A189" s="561"/>
      <c r="B189" s="561"/>
      <c r="C189" s="562"/>
      <c r="D189" s="37"/>
    </row>
    <row r="190" spans="1:4" ht="15">
      <c r="A190" s="558" t="s">
        <v>221</v>
      </c>
      <c r="B190" s="558"/>
      <c r="C190" s="558"/>
      <c r="D190" s="434">
        <f>SUM(D187:D189)</f>
        <v>622918</v>
      </c>
    </row>
    <row r="191" ht="15">
      <c r="D191" s="444"/>
    </row>
    <row r="192" ht="15">
      <c r="D192" s="444"/>
    </row>
    <row r="193" spans="1:5" ht="15">
      <c r="A193" s="87" t="s">
        <v>365</v>
      </c>
      <c r="B193" s="87"/>
      <c r="C193" s="88"/>
      <c r="D193" s="87" t="s">
        <v>35</v>
      </c>
      <c r="E193" s="88"/>
    </row>
    <row r="194" spans="2:5" ht="15">
      <c r="B194" s="87"/>
      <c r="C194" s="88"/>
      <c r="E194" s="88"/>
    </row>
  </sheetData>
  <sheetProtection/>
  <mergeCells count="7">
    <mergeCell ref="A2:E2"/>
    <mergeCell ref="A180:B180"/>
    <mergeCell ref="A186:C186"/>
    <mergeCell ref="A187:C187"/>
    <mergeCell ref="A190:C190"/>
    <mergeCell ref="A188:C188"/>
    <mergeCell ref="A189:C189"/>
  </mergeCells>
  <printOptions/>
  <pageMargins left="0.45" right="0.17" top="0.69" bottom="0.52" header="0.5118110236220472" footer="0.5118110236220472"/>
  <pageSetup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13">
      <selection activeCell="N44" sqref="N44"/>
    </sheetView>
  </sheetViews>
  <sheetFormatPr defaultColWidth="9.140625" defaultRowHeight="12.75"/>
  <cols>
    <col min="1" max="1" width="25.00390625" style="0" customWidth="1"/>
    <col min="2" max="2" width="9.8515625" style="0" customWidth="1"/>
    <col min="3" max="3" width="10.00390625" style="0" customWidth="1"/>
    <col min="4" max="4" width="10.57421875" style="0" customWidth="1"/>
    <col min="5" max="5" width="10.00390625" style="0" customWidth="1"/>
    <col min="6" max="6" width="10.28125" style="0" customWidth="1"/>
    <col min="7" max="7" width="10.00390625" style="0" customWidth="1"/>
    <col min="8" max="8" width="9.28125" style="0" customWidth="1"/>
    <col min="9" max="9" width="10.00390625" style="0" customWidth="1"/>
  </cols>
  <sheetData>
    <row r="1" spans="1:10" ht="12.75">
      <c r="A1" s="1"/>
      <c r="B1" s="1"/>
      <c r="C1" s="1"/>
      <c r="D1" s="1"/>
      <c r="E1" s="1"/>
      <c r="F1" t="s">
        <v>36</v>
      </c>
      <c r="G1" s="1"/>
      <c r="H1" s="1"/>
      <c r="I1" s="1"/>
      <c r="J1" s="1"/>
    </row>
    <row r="2" spans="1:10" ht="33" customHeight="1">
      <c r="A2" s="563" t="s">
        <v>626</v>
      </c>
      <c r="B2" s="563"/>
      <c r="C2" s="563"/>
      <c r="D2" s="563"/>
      <c r="E2" s="563"/>
      <c r="F2" s="563"/>
      <c r="G2" s="563"/>
      <c r="H2" s="563"/>
      <c r="I2" s="563"/>
      <c r="J2" s="563"/>
    </row>
    <row r="3" spans="1:10" ht="18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6.5" thickBot="1">
      <c r="A4" s="4" t="s">
        <v>627</v>
      </c>
      <c r="B4" s="4"/>
      <c r="C4" s="4"/>
      <c r="D4" s="4"/>
      <c r="E4" s="4"/>
      <c r="F4" s="4"/>
      <c r="G4" s="4"/>
      <c r="H4" s="4"/>
      <c r="I4" s="4"/>
      <c r="J4" s="1"/>
    </row>
    <row r="5" spans="1:10" ht="27" thickBot="1">
      <c r="A5" s="5"/>
      <c r="B5" s="52" t="s">
        <v>151</v>
      </c>
      <c r="C5" s="11" t="s">
        <v>152</v>
      </c>
      <c r="D5" s="52" t="s">
        <v>144</v>
      </c>
      <c r="E5" s="52" t="s">
        <v>332</v>
      </c>
      <c r="F5" s="52" t="s">
        <v>145</v>
      </c>
      <c r="G5" s="6" t="s">
        <v>146</v>
      </c>
      <c r="H5" s="51"/>
      <c r="I5" s="1"/>
      <c r="J5" s="27"/>
    </row>
    <row r="6" spans="1:10" ht="15">
      <c r="A6" s="7" t="s">
        <v>147</v>
      </c>
      <c r="B6" s="348">
        <v>994606</v>
      </c>
      <c r="C6" s="346">
        <v>420069</v>
      </c>
      <c r="D6" s="346">
        <v>493928</v>
      </c>
      <c r="E6" s="347">
        <v>556916</v>
      </c>
      <c r="F6" s="348">
        <v>145185</v>
      </c>
      <c r="G6" s="71">
        <f>SUM(B6:F6)</f>
        <v>2610704</v>
      </c>
      <c r="H6" s="9"/>
      <c r="I6" s="1"/>
      <c r="J6" s="25"/>
    </row>
    <row r="7" spans="1:7" ht="15.75" thickBot="1">
      <c r="A7" s="62" t="s">
        <v>148</v>
      </c>
      <c r="B7">
        <v>591972</v>
      </c>
      <c r="C7" s="216">
        <v>253816</v>
      </c>
      <c r="D7" s="63">
        <v>263992</v>
      </c>
      <c r="E7" s="63">
        <v>293536</v>
      </c>
      <c r="F7" s="217">
        <v>76872</v>
      </c>
      <c r="G7" s="71">
        <f>SUM(B7:F7)</f>
        <v>1480188</v>
      </c>
    </row>
    <row r="8" spans="1:9" ht="15.75" thickBot="1">
      <c r="A8" s="64" t="s">
        <v>149</v>
      </c>
      <c r="B8" s="238">
        <f>SUM(B6:B7)</f>
        <v>1586578</v>
      </c>
      <c r="C8" s="238">
        <f>SUM(C6:C7)</f>
        <v>673885</v>
      </c>
      <c r="D8" s="238">
        <f>SUM(D6:D7)</f>
        <v>757920</v>
      </c>
      <c r="E8" s="238">
        <f>SUM(E6:E7)</f>
        <v>850452</v>
      </c>
      <c r="F8" s="238">
        <f>SUM(F6:F7)</f>
        <v>222057</v>
      </c>
      <c r="G8" s="65">
        <f>SUM(B8:F8)</f>
        <v>4090892</v>
      </c>
      <c r="H8" s="355"/>
      <c r="I8" s="50"/>
    </row>
    <row r="9" spans="1:11" ht="15">
      <c r="A9" s="2"/>
      <c r="B9" s="8"/>
      <c r="C9" s="58"/>
      <c r="D9" s="10"/>
      <c r="E9" s="10"/>
      <c r="F9" s="66"/>
      <c r="G9" s="9"/>
      <c r="H9" s="57"/>
      <c r="I9" s="1"/>
      <c r="K9" s="12"/>
    </row>
    <row r="10" spans="1:11" ht="16.5" thickBot="1">
      <c r="A10" s="4" t="s">
        <v>628</v>
      </c>
      <c r="B10" s="257"/>
      <c r="C10" s="257"/>
      <c r="D10" s="257"/>
      <c r="E10" s="258"/>
      <c r="F10" s="257"/>
      <c r="G10" s="257"/>
      <c r="H10" s="257"/>
      <c r="I10" s="257"/>
      <c r="J10" s="1"/>
      <c r="K10" s="12"/>
    </row>
    <row r="11" spans="1:11" ht="15.75" thickBot="1">
      <c r="A11" s="5" t="s">
        <v>22</v>
      </c>
      <c r="B11" s="11" t="s">
        <v>399</v>
      </c>
      <c r="C11" s="11" t="s">
        <v>400</v>
      </c>
      <c r="D11" s="11" t="s">
        <v>401</v>
      </c>
      <c r="E11" s="11" t="s">
        <v>402</v>
      </c>
      <c r="F11" s="11" t="s">
        <v>403</v>
      </c>
      <c r="G11" s="11" t="s">
        <v>404</v>
      </c>
      <c r="H11" s="11" t="s">
        <v>405</v>
      </c>
      <c r="I11" s="259" t="s">
        <v>406</v>
      </c>
      <c r="J11" s="260" t="s">
        <v>407</v>
      </c>
      <c r="K11" s="12"/>
    </row>
    <row r="12" spans="1:11" ht="15">
      <c r="A12" s="261" t="s">
        <v>147</v>
      </c>
      <c r="B12" s="345">
        <v>25962</v>
      </c>
      <c r="C12" s="345">
        <v>61604</v>
      </c>
      <c r="D12" s="346">
        <v>47055</v>
      </c>
      <c r="E12" s="346">
        <v>71339</v>
      </c>
      <c r="F12" s="346">
        <v>68753</v>
      </c>
      <c r="G12" s="346">
        <v>16586</v>
      </c>
      <c r="H12" s="346">
        <v>45692</v>
      </c>
      <c r="I12" s="275">
        <v>35328</v>
      </c>
      <c r="J12" s="262">
        <f>SUM(B12:I12)</f>
        <v>372319</v>
      </c>
      <c r="K12" s="12"/>
    </row>
    <row r="13" spans="1:11" ht="15.75" thickBot="1">
      <c r="A13" s="263" t="s">
        <v>148</v>
      </c>
      <c r="B13" s="264">
        <v>-2514</v>
      </c>
      <c r="C13" s="264">
        <f>46658+2514</f>
        <v>49172</v>
      </c>
      <c r="D13" s="264">
        <v>31215</v>
      </c>
      <c r="E13" s="264">
        <v>38954</v>
      </c>
      <c r="F13" s="264">
        <v>31037</v>
      </c>
      <c r="G13" s="264">
        <v>10247</v>
      </c>
      <c r="H13" s="264">
        <v>30921</v>
      </c>
      <c r="I13" s="264">
        <v>21087</v>
      </c>
      <c r="J13" s="265">
        <f>SUM(B13:I13)</f>
        <v>210119</v>
      </c>
      <c r="K13" s="12"/>
    </row>
    <row r="14" spans="1:12" ht="15.75" thickBot="1">
      <c r="A14" s="266" t="s">
        <v>408</v>
      </c>
      <c r="B14" s="267">
        <f aca="true" t="shared" si="0" ref="B14:I14">SUM(B12:B13)</f>
        <v>23448</v>
      </c>
      <c r="C14" s="267">
        <f t="shared" si="0"/>
        <v>110776</v>
      </c>
      <c r="D14" s="267">
        <f t="shared" si="0"/>
        <v>78270</v>
      </c>
      <c r="E14" s="267">
        <f t="shared" si="0"/>
        <v>110293</v>
      </c>
      <c r="F14" s="267">
        <f t="shared" si="0"/>
        <v>99790</v>
      </c>
      <c r="G14" s="267">
        <f t="shared" si="0"/>
        <v>26833</v>
      </c>
      <c r="H14" s="267">
        <f t="shared" si="0"/>
        <v>76613</v>
      </c>
      <c r="I14" s="267">
        <f t="shared" si="0"/>
        <v>56415</v>
      </c>
      <c r="J14" s="65">
        <f>SUM(B14:I14)</f>
        <v>582438</v>
      </c>
      <c r="K14" s="355"/>
      <c r="L14" s="50"/>
    </row>
    <row r="15" spans="1:10" ht="15">
      <c r="A15" s="268"/>
      <c r="B15" s="10"/>
      <c r="C15" s="10"/>
      <c r="D15" s="10"/>
      <c r="E15" s="10"/>
      <c r="F15" s="10"/>
      <c r="G15" s="10"/>
      <c r="H15" s="10"/>
      <c r="I15" s="10"/>
      <c r="J15" s="9"/>
    </row>
    <row r="16" spans="1:10" ht="16.5" thickBot="1">
      <c r="A16" s="4" t="s">
        <v>629</v>
      </c>
      <c r="B16" s="4"/>
      <c r="C16" s="4"/>
      <c r="D16" s="4"/>
      <c r="E16" s="4"/>
      <c r="F16" s="4"/>
      <c r="G16" s="4"/>
      <c r="H16" s="4"/>
      <c r="I16" s="4"/>
      <c r="J16" s="1"/>
    </row>
    <row r="17" spans="1:11" ht="29.25" customHeight="1" thickBot="1">
      <c r="A17" s="5"/>
      <c r="B17" s="269" t="s">
        <v>409</v>
      </c>
      <c r="C17" s="269" t="s">
        <v>410</v>
      </c>
      <c r="D17" s="270" t="s">
        <v>144</v>
      </c>
      <c r="E17" s="52" t="s">
        <v>332</v>
      </c>
      <c r="F17" s="271" t="s">
        <v>145</v>
      </c>
      <c r="G17" s="272" t="s">
        <v>16</v>
      </c>
      <c r="H17" s="271" t="s">
        <v>150</v>
      </c>
      <c r="I17" s="271" t="s">
        <v>411</v>
      </c>
      <c r="J17" s="260" t="s">
        <v>146</v>
      </c>
      <c r="K17" s="273"/>
    </row>
    <row r="18" spans="1:10" ht="15">
      <c r="A18" s="7" t="s">
        <v>412</v>
      </c>
      <c r="B18" s="344">
        <v>30860</v>
      </c>
      <c r="C18" s="346">
        <v>19630</v>
      </c>
      <c r="D18" s="345">
        <v>10275</v>
      </c>
      <c r="E18" s="346">
        <v>18214</v>
      </c>
      <c r="F18" s="275">
        <v>10007</v>
      </c>
      <c r="G18" s="275"/>
      <c r="H18" s="274"/>
      <c r="I18" s="275">
        <v>52177</v>
      </c>
      <c r="J18" s="262">
        <f>SUM(B18:I18)</f>
        <v>141163</v>
      </c>
    </row>
    <row r="19" spans="1:11" ht="15.75" thickBot="1">
      <c r="A19" s="276" t="s">
        <v>148</v>
      </c>
      <c r="B19" s="277">
        <v>15536</v>
      </c>
      <c r="C19" s="277">
        <v>11464</v>
      </c>
      <c r="D19" s="277">
        <v>4756</v>
      </c>
      <c r="E19" s="277">
        <v>11132</v>
      </c>
      <c r="F19" s="277">
        <v>2940</v>
      </c>
      <c r="G19" s="277"/>
      <c r="H19" s="277"/>
      <c r="I19" s="277">
        <v>33052</v>
      </c>
      <c r="J19" s="278">
        <f>SUM(B19:I19)</f>
        <v>78880</v>
      </c>
      <c r="K19" s="279"/>
    </row>
    <row r="20" spans="1:10" ht="15.75" thickBot="1">
      <c r="A20" s="280" t="s">
        <v>413</v>
      </c>
      <c r="B20" s="281">
        <f aca="true" t="shared" si="1" ref="B20:H20">SUM(B18:B19)</f>
        <v>46396</v>
      </c>
      <c r="C20" s="281">
        <f t="shared" si="1"/>
        <v>31094</v>
      </c>
      <c r="D20" s="281">
        <f t="shared" si="1"/>
        <v>15031</v>
      </c>
      <c r="E20" s="281">
        <f t="shared" si="1"/>
        <v>29346</v>
      </c>
      <c r="F20" s="281">
        <f t="shared" si="1"/>
        <v>12947</v>
      </c>
      <c r="G20" s="281">
        <f t="shared" si="1"/>
        <v>0</v>
      </c>
      <c r="H20" s="281">
        <f t="shared" si="1"/>
        <v>0</v>
      </c>
      <c r="I20" s="281">
        <f>SUM(I18:I19)</f>
        <v>85229</v>
      </c>
      <c r="J20" s="282">
        <f>SUM(B20:I20)</f>
        <v>220043</v>
      </c>
    </row>
    <row r="21" spans="1:12" ht="15">
      <c r="A21" s="2"/>
      <c r="B21" s="8"/>
      <c r="C21" s="8"/>
      <c r="D21" s="8"/>
      <c r="E21" s="8"/>
      <c r="F21" s="8"/>
      <c r="G21" s="8"/>
      <c r="H21" s="8"/>
      <c r="I21" s="8"/>
      <c r="J21" s="8"/>
      <c r="K21" s="9"/>
      <c r="L21" s="283"/>
    </row>
    <row r="22" spans="1:10" ht="16.5" thickBot="1">
      <c r="A22" s="4" t="s">
        <v>630</v>
      </c>
      <c r="B22" s="4"/>
      <c r="C22" s="4"/>
      <c r="D22" s="4"/>
      <c r="E22" s="4"/>
      <c r="F22" s="4"/>
      <c r="G22" s="4"/>
      <c r="H22" s="4"/>
      <c r="I22" s="4"/>
      <c r="J22" s="1"/>
    </row>
    <row r="23" spans="1:10" ht="29.25" customHeight="1" thickBot="1">
      <c r="A23" s="5"/>
      <c r="B23" s="271" t="s">
        <v>16</v>
      </c>
      <c r="C23" s="271" t="s">
        <v>150</v>
      </c>
      <c r="D23" s="271" t="s">
        <v>414</v>
      </c>
      <c r="E23" s="271" t="s">
        <v>132</v>
      </c>
      <c r="F23" s="260" t="s">
        <v>146</v>
      </c>
      <c r="G23" s="1"/>
      <c r="H23" s="1"/>
      <c r="I23" s="1"/>
      <c r="J23" s="1"/>
    </row>
    <row r="24" spans="1:10" ht="15">
      <c r="A24" s="7" t="s">
        <v>412</v>
      </c>
      <c r="B24" s="243">
        <v>218815</v>
      </c>
      <c r="C24" s="350">
        <v>118386</v>
      </c>
      <c r="D24" s="349">
        <v>242450</v>
      </c>
      <c r="E24" s="349">
        <v>62884</v>
      </c>
      <c r="F24" s="262">
        <f>SUM(B24:E24)</f>
        <v>642535</v>
      </c>
      <c r="G24" s="1"/>
      <c r="H24" s="9"/>
      <c r="I24" s="1"/>
      <c r="J24" s="1"/>
    </row>
    <row r="25" spans="1:10" ht="15.75" thickBot="1">
      <c r="A25" s="62" t="s">
        <v>148</v>
      </c>
      <c r="B25" s="284">
        <v>1887</v>
      </c>
      <c r="C25" s="284">
        <v>951</v>
      </c>
      <c r="D25" s="216">
        <v>123991</v>
      </c>
      <c r="E25" s="285">
        <v>31644</v>
      </c>
      <c r="F25" s="265">
        <f>SUM(B25:E25)</f>
        <v>158473</v>
      </c>
      <c r="G25" s="1"/>
      <c r="H25" s="1"/>
      <c r="I25" s="1"/>
      <c r="J25" s="1"/>
    </row>
    <row r="26" spans="1:10" ht="15.75" thickBot="1">
      <c r="A26" s="64" t="s">
        <v>413</v>
      </c>
      <c r="B26" s="238">
        <f>SUM(B24:B25)</f>
        <v>220702</v>
      </c>
      <c r="C26" s="238">
        <f>SUM(C24:C25)</f>
        <v>119337</v>
      </c>
      <c r="D26" s="238">
        <f>SUM(D24:D25)</f>
        <v>366441</v>
      </c>
      <c r="E26" s="238">
        <f>SUM(E24:E25)</f>
        <v>94528</v>
      </c>
      <c r="F26" s="65">
        <f>SUM(B26:E26)</f>
        <v>801008</v>
      </c>
      <c r="G26" s="1"/>
      <c r="H26" s="9"/>
      <c r="I26" s="1"/>
      <c r="J26" s="1"/>
    </row>
    <row r="27" spans="1:10" ht="15">
      <c r="A27" s="2"/>
      <c r="B27" s="8"/>
      <c r="C27" s="8"/>
      <c r="D27" s="8"/>
      <c r="E27" s="8"/>
      <c r="F27" s="9"/>
      <c r="G27" s="1"/>
      <c r="H27" s="1"/>
      <c r="I27" s="1"/>
      <c r="J27" s="1"/>
    </row>
    <row r="28" spans="1:10" ht="16.5" thickBot="1">
      <c r="A28" s="564" t="s">
        <v>635</v>
      </c>
      <c r="B28" s="564"/>
      <c r="C28" s="564"/>
      <c r="D28" s="564"/>
      <c r="E28" s="564"/>
      <c r="F28" s="565"/>
      <c r="G28" s="1"/>
      <c r="H28" s="1"/>
      <c r="I28" s="1"/>
      <c r="J28" s="1"/>
    </row>
    <row r="29" spans="1:10" ht="27" thickBot="1">
      <c r="A29" s="5"/>
      <c r="B29" s="52" t="s">
        <v>144</v>
      </c>
      <c r="C29" s="271" t="s">
        <v>414</v>
      </c>
      <c r="D29" s="271"/>
      <c r="E29" s="260" t="s">
        <v>146</v>
      </c>
      <c r="F29" s="2"/>
      <c r="G29" s="1"/>
      <c r="H29" s="1"/>
      <c r="I29" s="1"/>
      <c r="J29" s="1"/>
    </row>
    <row r="30" spans="1:10" ht="15">
      <c r="A30" s="62" t="s">
        <v>634</v>
      </c>
      <c r="B30" s="63">
        <v>414</v>
      </c>
      <c r="C30" s="284">
        <v>828</v>
      </c>
      <c r="D30" s="63"/>
      <c r="E30" s="265">
        <f>SUM(B30:D30)</f>
        <v>1242</v>
      </c>
      <c r="F30" s="1"/>
      <c r="G30" s="1"/>
      <c r="H30" s="1"/>
      <c r="I30" s="1"/>
      <c r="J30" s="1"/>
    </row>
    <row r="31" spans="1:10" ht="15.75" thickBot="1">
      <c r="A31" s="62" t="s">
        <v>148</v>
      </c>
      <c r="B31" s="63"/>
      <c r="C31" s="284"/>
      <c r="D31" s="63"/>
      <c r="E31" s="71">
        <f>SUM(B31:D31)</f>
        <v>0</v>
      </c>
      <c r="F31" s="1"/>
      <c r="G31" s="1"/>
      <c r="H31" s="1"/>
      <c r="I31" s="1"/>
      <c r="J31" s="1"/>
    </row>
    <row r="32" spans="1:10" ht="15.75" thickBot="1">
      <c r="A32" s="64" t="s">
        <v>413</v>
      </c>
      <c r="B32" s="238">
        <f>SUM(B30:B31)</f>
        <v>414</v>
      </c>
      <c r="C32" s="238">
        <f>SUM(C30:C31)</f>
        <v>828</v>
      </c>
      <c r="D32" s="238">
        <f>SUM(D30:D31)</f>
        <v>0</v>
      </c>
      <c r="E32" s="481">
        <f>SUM(E30:E31)</f>
        <v>1242</v>
      </c>
      <c r="G32" s="1"/>
      <c r="H32" s="1"/>
      <c r="I32" s="1"/>
      <c r="J32" s="1"/>
    </row>
    <row r="33" spans="1:10" ht="15">
      <c r="A33" s="2"/>
      <c r="B33" s="8"/>
      <c r="C33" s="8"/>
      <c r="D33" s="8"/>
      <c r="E33" s="8"/>
      <c r="F33" s="9"/>
      <c r="G33" s="1"/>
      <c r="H33" s="1"/>
      <c r="I33" s="1"/>
      <c r="J33" s="1"/>
    </row>
    <row r="34" spans="1:10" ht="15">
      <c r="A34" s="2"/>
      <c r="B34" s="8"/>
      <c r="C34" s="8"/>
      <c r="D34" s="8"/>
      <c r="E34" s="8"/>
      <c r="F34" s="9"/>
      <c r="G34" s="1"/>
      <c r="H34" s="1"/>
      <c r="I34" s="1"/>
      <c r="J34" s="1"/>
    </row>
    <row r="35" spans="1:10" ht="12.75">
      <c r="A35" s="2"/>
      <c r="B35" s="1" t="s">
        <v>365</v>
      </c>
      <c r="C35" s="1"/>
      <c r="D35" s="1"/>
      <c r="E35" s="1"/>
      <c r="F35" s="1"/>
      <c r="G35" s="1"/>
      <c r="H35" s="1" t="s">
        <v>35</v>
      </c>
      <c r="I35" s="1"/>
      <c r="J35" s="1"/>
    </row>
  </sheetData>
  <sheetProtection/>
  <mergeCells count="2">
    <mergeCell ref="A2:J2"/>
    <mergeCell ref="A28:F28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37"/>
  <sheetViews>
    <sheetView tabSelected="1" zoomScalePageLayoutView="0" workbookViewId="0" topLeftCell="A1">
      <pane xSplit="1" ySplit="3" topLeftCell="B4" activePane="bottomRight" state="frozen"/>
      <selection pane="topLeft" activeCell="J8" sqref="J8"/>
      <selection pane="topRight" activeCell="J8" sqref="J8"/>
      <selection pane="bottomLeft" activeCell="J8" sqref="J8"/>
      <selection pane="bottomRight" activeCell="B10" sqref="B10"/>
    </sheetView>
  </sheetViews>
  <sheetFormatPr defaultColWidth="9.140625" defaultRowHeight="12.75"/>
  <cols>
    <col min="1" max="1" width="44.28125" style="0" customWidth="1"/>
    <col min="2" max="2" width="11.28125" style="0" customWidth="1"/>
    <col min="3" max="4" width="10.8515625" style="0" customWidth="1"/>
    <col min="5" max="5" width="9.140625" style="0" customWidth="1"/>
    <col min="6" max="6" width="9.8515625" style="0" customWidth="1"/>
    <col min="7" max="7" width="9.28125" style="0" customWidth="1"/>
    <col min="8" max="9" width="8.28125" style="0" customWidth="1"/>
    <col min="10" max="10" width="10.00390625" style="0" customWidth="1"/>
    <col min="11" max="11" width="9.28125" style="0" customWidth="1"/>
    <col min="13" max="16" width="9.421875" style="0" customWidth="1"/>
    <col min="17" max="17" width="11.57421875" style="0" customWidth="1"/>
    <col min="18" max="18" width="10.57421875" style="0" customWidth="1"/>
    <col min="19" max="19" width="7.421875" style="31" customWidth="1"/>
    <col min="20" max="20" width="9.421875" style="0" customWidth="1"/>
  </cols>
  <sheetData>
    <row r="1" ht="12.75">
      <c r="I1" t="s">
        <v>36</v>
      </c>
    </row>
    <row r="2" spans="1:17" ht="12.75">
      <c r="A2" s="50" t="s">
        <v>718</v>
      </c>
      <c r="K2" s="299"/>
      <c r="M2" s="299"/>
      <c r="N2" s="299"/>
      <c r="O2" s="299"/>
      <c r="P2" s="299"/>
      <c r="Q2" s="299"/>
    </row>
    <row r="3" spans="1:21" ht="106.5" customHeight="1">
      <c r="A3" s="32"/>
      <c r="B3" s="33" t="s">
        <v>219</v>
      </c>
      <c r="C3" s="33" t="s">
        <v>329</v>
      </c>
      <c r="D3" s="81" t="s">
        <v>704</v>
      </c>
      <c r="E3" s="33" t="s">
        <v>330</v>
      </c>
      <c r="F3" s="33" t="s">
        <v>331</v>
      </c>
      <c r="G3" s="33" t="s">
        <v>328</v>
      </c>
      <c r="H3" s="33" t="s">
        <v>233</v>
      </c>
      <c r="I3" s="81" t="s">
        <v>350</v>
      </c>
      <c r="J3" s="81" t="s">
        <v>361</v>
      </c>
      <c r="K3" s="300" t="s">
        <v>0</v>
      </c>
      <c r="L3" s="34" t="s">
        <v>370</v>
      </c>
      <c r="M3" s="33" t="s">
        <v>373</v>
      </c>
      <c r="N3" s="357" t="s">
        <v>428</v>
      </c>
      <c r="O3" s="357" t="s">
        <v>679</v>
      </c>
      <c r="P3" s="524" t="s">
        <v>252</v>
      </c>
      <c r="Q3" s="523" t="s">
        <v>524</v>
      </c>
      <c r="R3" s="35" t="s">
        <v>426</v>
      </c>
      <c r="S3" s="80" t="s">
        <v>220</v>
      </c>
      <c r="T3" s="36" t="s">
        <v>221</v>
      </c>
      <c r="U3" s="56"/>
    </row>
    <row r="4" spans="1:21" ht="15">
      <c r="A4" s="37" t="s">
        <v>222</v>
      </c>
      <c r="B4" s="37">
        <f>B27-Q4</f>
        <v>124</v>
      </c>
      <c r="C4" s="32"/>
      <c r="D4" s="32"/>
      <c r="E4" s="32"/>
      <c r="F4" s="37"/>
      <c r="G4" s="37"/>
      <c r="H4" s="37"/>
      <c r="I4" s="37"/>
      <c r="J4" s="37"/>
      <c r="K4" s="107"/>
      <c r="L4" s="38"/>
      <c r="M4" s="39"/>
      <c r="N4" s="356"/>
      <c r="O4" s="356"/>
      <c r="P4" s="356"/>
      <c r="Q4" s="492"/>
      <c r="R4" s="43"/>
      <c r="S4" s="39"/>
      <c r="T4" s="40">
        <f aca="true" t="shared" si="0" ref="T4:T14">SUM(B4:S4)</f>
        <v>124</v>
      </c>
      <c r="U4" s="41"/>
    </row>
    <row r="5" spans="1:21" ht="15">
      <c r="A5" s="37" t="s">
        <v>223</v>
      </c>
      <c r="B5" s="37">
        <f>C27-P5-Q5-R5</f>
        <v>8481</v>
      </c>
      <c r="C5" s="22">
        <f>40152</f>
        <v>40152</v>
      </c>
      <c r="D5" s="22">
        <v>3931</v>
      </c>
      <c r="E5" s="32">
        <v>1764</v>
      </c>
      <c r="F5" s="37">
        <v>2059</v>
      </c>
      <c r="G5" s="37"/>
      <c r="H5" s="37"/>
      <c r="I5" s="37"/>
      <c r="J5" s="37"/>
      <c r="K5" s="37"/>
      <c r="L5" s="38"/>
      <c r="M5" s="42"/>
      <c r="N5" s="245"/>
      <c r="O5" s="245"/>
      <c r="P5" s="245">
        <v>262</v>
      </c>
      <c r="Q5" s="245"/>
      <c r="R5" s="44"/>
      <c r="S5" s="39"/>
      <c r="T5" s="40">
        <f t="shared" si="0"/>
        <v>56649</v>
      </c>
      <c r="U5" s="41"/>
    </row>
    <row r="6" spans="1:21" ht="15">
      <c r="A6" s="37" t="s">
        <v>224</v>
      </c>
      <c r="B6" s="245">
        <f>D27-P6-Q6-R6</f>
        <v>914</v>
      </c>
      <c r="C6" s="42"/>
      <c r="D6" s="42"/>
      <c r="E6" s="32"/>
      <c r="F6" s="37"/>
      <c r="G6" s="37"/>
      <c r="H6" s="37"/>
      <c r="I6" s="37"/>
      <c r="J6" s="37"/>
      <c r="K6" s="37"/>
      <c r="L6" s="61"/>
      <c r="M6" s="44"/>
      <c r="N6" s="240"/>
      <c r="O6" s="240"/>
      <c r="P6" s="240"/>
      <c r="Q6" s="240"/>
      <c r="R6" s="510"/>
      <c r="S6" s="44"/>
      <c r="T6" s="40">
        <f t="shared" si="0"/>
        <v>914</v>
      </c>
      <c r="U6" s="41"/>
    </row>
    <row r="7" spans="1:21" ht="15">
      <c r="A7" s="232" t="s">
        <v>225</v>
      </c>
      <c r="B7" s="240">
        <f>F27-P7-Q7-O7</f>
        <v>908</v>
      </c>
      <c r="C7" s="22">
        <f>104444</f>
        <v>104444</v>
      </c>
      <c r="D7" s="22">
        <v>9950</v>
      </c>
      <c r="E7" s="374">
        <v>7028</v>
      </c>
      <c r="F7" s="232">
        <f>1653+16750</f>
        <v>18403</v>
      </c>
      <c r="G7" s="37"/>
      <c r="H7" s="37"/>
      <c r="I7" s="37"/>
      <c r="J7" s="37"/>
      <c r="K7" s="37"/>
      <c r="L7" s="61"/>
      <c r="M7" s="39"/>
      <c r="N7" s="245"/>
      <c r="O7" s="245">
        <f>F17</f>
        <v>57</v>
      </c>
      <c r="P7" s="245"/>
      <c r="Q7" s="245">
        <v>1751</v>
      </c>
      <c r="R7" s="39"/>
      <c r="S7" s="39"/>
      <c r="T7" s="40">
        <f t="shared" si="0"/>
        <v>142541</v>
      </c>
      <c r="U7" s="41"/>
    </row>
    <row r="8" spans="1:21" ht="15">
      <c r="A8" s="37" t="s">
        <v>226</v>
      </c>
      <c r="B8" s="37">
        <f>G27-P8-Q8-R8</f>
        <v>102</v>
      </c>
      <c r="C8" s="42"/>
      <c r="D8" s="42"/>
      <c r="E8" s="32"/>
      <c r="F8" s="37"/>
      <c r="G8" s="37"/>
      <c r="H8" s="37"/>
      <c r="I8" s="37"/>
      <c r="J8" s="37"/>
      <c r="K8" s="37"/>
      <c r="L8" s="38"/>
      <c r="M8" s="39"/>
      <c r="N8" s="245"/>
      <c r="O8" s="245"/>
      <c r="P8" s="245"/>
      <c r="Q8" s="245"/>
      <c r="R8" s="39"/>
      <c r="S8" s="39"/>
      <c r="T8" s="40">
        <f t="shared" si="0"/>
        <v>102</v>
      </c>
      <c r="U8" s="41"/>
    </row>
    <row r="9" spans="1:21" ht="15">
      <c r="A9" s="37" t="s">
        <v>227</v>
      </c>
      <c r="B9" s="37">
        <f>E27-P9</f>
        <v>0</v>
      </c>
      <c r="C9" s="42"/>
      <c r="D9" s="42"/>
      <c r="E9" s="32"/>
      <c r="F9" s="37"/>
      <c r="G9" s="37"/>
      <c r="H9" s="37"/>
      <c r="I9" s="37"/>
      <c r="J9" s="37"/>
      <c r="K9" s="37"/>
      <c r="L9" s="61"/>
      <c r="M9" s="44"/>
      <c r="N9" s="240"/>
      <c r="O9" s="240"/>
      <c r="P9" s="240"/>
      <c r="Q9" s="240"/>
      <c r="R9" s="44"/>
      <c r="S9" s="22"/>
      <c r="T9" s="40">
        <f t="shared" si="0"/>
        <v>0</v>
      </c>
      <c r="U9" s="41"/>
    </row>
    <row r="10" spans="1:21" ht="15">
      <c r="A10" s="37" t="s">
        <v>228</v>
      </c>
      <c r="B10" s="424">
        <f>H27-P10-R10</f>
        <v>3991</v>
      </c>
      <c r="C10" s="42">
        <f>114904</f>
        <v>114904</v>
      </c>
      <c r="D10" s="42">
        <v>10872</v>
      </c>
      <c r="E10" s="32">
        <v>8692</v>
      </c>
      <c r="F10" s="37">
        <v>10957</v>
      </c>
      <c r="G10" s="37"/>
      <c r="H10" s="37"/>
      <c r="I10" s="37"/>
      <c r="J10" s="37"/>
      <c r="K10" s="246"/>
      <c r="L10" s="38"/>
      <c r="M10" s="37"/>
      <c r="N10" s="245"/>
      <c r="O10" s="245"/>
      <c r="P10" s="245"/>
      <c r="Q10" s="245"/>
      <c r="R10" s="359"/>
      <c r="S10" s="39"/>
      <c r="T10" s="40">
        <f t="shared" si="0"/>
        <v>149416</v>
      </c>
      <c r="U10" s="41"/>
    </row>
    <row r="11" spans="1:21" ht="15">
      <c r="A11" s="37" t="s">
        <v>549</v>
      </c>
      <c r="B11" s="37">
        <f>I27</f>
        <v>3108</v>
      </c>
      <c r="C11" s="42"/>
      <c r="D11" s="42"/>
      <c r="E11" s="32">
        <v>1996</v>
      </c>
      <c r="F11" s="37"/>
      <c r="G11" s="37"/>
      <c r="H11" s="37"/>
      <c r="I11" s="37"/>
      <c r="J11" s="37"/>
      <c r="K11" s="246"/>
      <c r="L11" s="38"/>
      <c r="M11" s="37">
        <f>71516+96368</f>
        <v>167884</v>
      </c>
      <c r="N11" s="245"/>
      <c r="O11" s="245"/>
      <c r="P11" s="245"/>
      <c r="Q11" s="245"/>
      <c r="R11" s="359"/>
      <c r="S11" s="39"/>
      <c r="T11" s="40">
        <f t="shared" si="0"/>
        <v>172988</v>
      </c>
      <c r="U11" s="41"/>
    </row>
    <row r="12" spans="1:21" ht="15">
      <c r="A12" s="37" t="s">
        <v>366</v>
      </c>
      <c r="B12" s="37">
        <v>0</v>
      </c>
      <c r="C12" s="42"/>
      <c r="D12" s="42"/>
      <c r="E12" s="32"/>
      <c r="F12" s="37"/>
      <c r="G12" s="37"/>
      <c r="H12" s="37"/>
      <c r="I12" s="37"/>
      <c r="J12" s="37"/>
      <c r="K12" s="37"/>
      <c r="L12" s="38"/>
      <c r="M12" s="37"/>
      <c r="N12" s="42"/>
      <c r="O12" s="42"/>
      <c r="P12" s="42"/>
      <c r="Q12" s="42"/>
      <c r="R12" s="359"/>
      <c r="S12" s="39"/>
      <c r="T12" s="40">
        <f t="shared" si="0"/>
        <v>0</v>
      </c>
      <c r="U12" s="41"/>
    </row>
    <row r="13" spans="1:21" ht="15">
      <c r="A13" s="37" t="s">
        <v>229</v>
      </c>
      <c r="B13" s="37">
        <f>J27-P13-Q13</f>
        <v>35006</v>
      </c>
      <c r="C13" s="22">
        <f>45036</f>
        <v>45036</v>
      </c>
      <c r="D13" s="22">
        <v>4708</v>
      </c>
      <c r="E13" s="32">
        <v>4624</v>
      </c>
      <c r="F13" s="37">
        <v>6942</v>
      </c>
      <c r="G13" s="37"/>
      <c r="H13" s="37"/>
      <c r="I13" s="37"/>
      <c r="J13" s="37"/>
      <c r="K13" s="37"/>
      <c r="L13" s="39"/>
      <c r="M13" s="39"/>
      <c r="N13" s="245"/>
      <c r="O13" s="245"/>
      <c r="P13" s="245">
        <f>J20</f>
        <v>0</v>
      </c>
      <c r="Q13" s="245">
        <f>J23</f>
        <v>0</v>
      </c>
      <c r="R13" s="44"/>
      <c r="S13" s="44"/>
      <c r="T13" s="40">
        <f t="shared" si="0"/>
        <v>96316</v>
      </c>
      <c r="U13" s="41"/>
    </row>
    <row r="14" spans="1:21" ht="12.75">
      <c r="A14" s="32" t="s">
        <v>230</v>
      </c>
      <c r="B14" s="45">
        <f>SUM(B4:B13)</f>
        <v>52634</v>
      </c>
      <c r="C14" s="45">
        <f aca="true" t="shared" si="1" ref="C14:S14">SUM(C4:C13)</f>
        <v>304536</v>
      </c>
      <c r="D14" s="45">
        <f t="shared" si="1"/>
        <v>29461</v>
      </c>
      <c r="E14" s="45">
        <f t="shared" si="1"/>
        <v>24104</v>
      </c>
      <c r="F14" s="45">
        <f t="shared" si="1"/>
        <v>38361</v>
      </c>
      <c r="G14" s="45">
        <f t="shared" si="1"/>
        <v>0</v>
      </c>
      <c r="H14" s="45">
        <f>SUM(H4:H13)</f>
        <v>0</v>
      </c>
      <c r="I14" s="45">
        <f>SUM(I4:I13)</f>
        <v>0</v>
      </c>
      <c r="J14" s="45">
        <f>SUM(J4:J13)</f>
        <v>0</v>
      </c>
      <c r="K14" s="45">
        <f t="shared" si="1"/>
        <v>0</v>
      </c>
      <c r="L14" s="45">
        <f t="shared" si="1"/>
        <v>0</v>
      </c>
      <c r="M14" s="45">
        <f t="shared" si="1"/>
        <v>167884</v>
      </c>
      <c r="N14" s="45">
        <f t="shared" si="1"/>
        <v>0</v>
      </c>
      <c r="O14" s="45">
        <f t="shared" si="1"/>
        <v>57</v>
      </c>
      <c r="P14" s="45">
        <f t="shared" si="1"/>
        <v>262</v>
      </c>
      <c r="Q14" s="45">
        <f t="shared" si="1"/>
        <v>1751</v>
      </c>
      <c r="R14" s="45">
        <f t="shared" si="1"/>
        <v>0</v>
      </c>
      <c r="S14" s="45">
        <f t="shared" si="1"/>
        <v>0</v>
      </c>
      <c r="T14" s="40">
        <f t="shared" si="0"/>
        <v>619050</v>
      </c>
      <c r="U14" s="41"/>
    </row>
    <row r="15" ht="12.75">
      <c r="A15" t="s">
        <v>231</v>
      </c>
    </row>
    <row r="16" spans="1:19" ht="45">
      <c r="A16" s="47" t="s">
        <v>337</v>
      </c>
      <c r="B16" s="47" t="s">
        <v>222</v>
      </c>
      <c r="C16" s="47" t="s">
        <v>223</v>
      </c>
      <c r="D16" s="47" t="s">
        <v>224</v>
      </c>
      <c r="E16" s="47" t="s">
        <v>227</v>
      </c>
      <c r="F16" s="47" t="s">
        <v>225</v>
      </c>
      <c r="G16" s="47" t="s">
        <v>226</v>
      </c>
      <c r="H16" s="47" t="s">
        <v>228</v>
      </c>
      <c r="I16" s="47" t="s">
        <v>689</v>
      </c>
      <c r="J16" s="47" t="s">
        <v>229</v>
      </c>
      <c r="K16" s="47" t="s">
        <v>364</v>
      </c>
      <c r="M16" s="60"/>
      <c r="N16" s="49"/>
      <c r="O16" s="49"/>
      <c r="P16" s="49"/>
      <c r="Q16" s="49"/>
      <c r="S16"/>
    </row>
    <row r="17" spans="1:19" ht="60">
      <c r="A17" s="109" t="s">
        <v>678</v>
      </c>
      <c r="B17" s="47"/>
      <c r="C17" s="47"/>
      <c r="D17" s="47"/>
      <c r="E17" s="47"/>
      <c r="F17" s="47">
        <v>57</v>
      </c>
      <c r="G17" s="47"/>
      <c r="H17" s="47"/>
      <c r="I17" s="47"/>
      <c r="J17" s="47"/>
      <c r="K17" s="47"/>
      <c r="M17" s="49"/>
      <c r="N17" s="49"/>
      <c r="O17" s="49"/>
      <c r="P17" s="49"/>
      <c r="Q17" s="49"/>
      <c r="S17"/>
    </row>
    <row r="18" spans="1:19" ht="30">
      <c r="A18" s="184" t="s">
        <v>697</v>
      </c>
      <c r="B18" s="47"/>
      <c r="C18" s="47">
        <v>262</v>
      </c>
      <c r="D18" s="47"/>
      <c r="E18" s="47"/>
      <c r="F18" s="47"/>
      <c r="G18" s="47"/>
      <c r="H18" s="47"/>
      <c r="I18" s="47"/>
      <c r="J18" s="47"/>
      <c r="K18" s="47"/>
      <c r="M18" s="49"/>
      <c r="N18" s="49"/>
      <c r="O18" s="49"/>
      <c r="S18"/>
    </row>
    <row r="19" spans="1:19" ht="45">
      <c r="A19" s="60" t="s">
        <v>687</v>
      </c>
      <c r="B19" s="47"/>
      <c r="C19" s="47"/>
      <c r="D19" s="373"/>
      <c r="E19" s="47"/>
      <c r="F19" s="47">
        <v>46</v>
      </c>
      <c r="G19" s="47"/>
      <c r="H19" s="47"/>
      <c r="I19" s="47"/>
      <c r="J19" s="47">
        <v>-46</v>
      </c>
      <c r="K19" s="47"/>
      <c r="M19" s="49"/>
      <c r="N19" s="49"/>
      <c r="O19" s="49"/>
      <c r="P19" s="49"/>
      <c r="Q19" s="49"/>
      <c r="S19"/>
    </row>
    <row r="20" spans="1:19" ht="45">
      <c r="A20" s="109" t="s">
        <v>688</v>
      </c>
      <c r="B20" s="47"/>
      <c r="C20" s="47"/>
      <c r="D20" s="47"/>
      <c r="E20" s="47"/>
      <c r="F20" s="47"/>
      <c r="G20" s="47"/>
      <c r="H20" s="47">
        <v>-3108</v>
      </c>
      <c r="I20" s="47">
        <v>3108</v>
      </c>
      <c r="J20" s="47"/>
      <c r="K20" s="47"/>
      <c r="L20" s="355"/>
      <c r="M20" s="49"/>
      <c r="N20" s="49"/>
      <c r="O20" s="49"/>
      <c r="P20" s="49"/>
      <c r="Q20" s="49"/>
      <c r="S20"/>
    </row>
    <row r="21" spans="1:19" ht="45">
      <c r="A21" s="483" t="s">
        <v>695</v>
      </c>
      <c r="B21" s="47"/>
      <c r="C21" s="47"/>
      <c r="D21" s="47"/>
      <c r="E21" s="47"/>
      <c r="F21" s="47"/>
      <c r="G21" s="47"/>
      <c r="H21" s="47"/>
      <c r="I21" s="47"/>
      <c r="J21" s="47">
        <v>27353</v>
      </c>
      <c r="K21" s="47"/>
      <c r="M21" s="49"/>
      <c r="N21" s="49"/>
      <c r="O21" s="49"/>
      <c r="P21" s="49"/>
      <c r="Q21" s="49"/>
      <c r="S21"/>
    </row>
    <row r="22" spans="1:19" ht="45">
      <c r="A22" s="483" t="s">
        <v>703</v>
      </c>
      <c r="B22" s="47"/>
      <c r="C22" s="47"/>
      <c r="D22" s="47"/>
      <c r="E22" s="47"/>
      <c r="F22" s="47"/>
      <c r="G22" s="47"/>
      <c r="H22" s="47"/>
      <c r="I22" s="47"/>
      <c r="J22" s="47">
        <v>7486</v>
      </c>
      <c r="K22" s="47"/>
      <c r="M22" s="49"/>
      <c r="N22" s="49"/>
      <c r="O22" s="49"/>
      <c r="P22" s="49"/>
      <c r="Q22" s="49"/>
      <c r="S22"/>
    </row>
    <row r="23" spans="1:19" ht="45">
      <c r="A23" s="483" t="s">
        <v>696</v>
      </c>
      <c r="B23" s="47"/>
      <c r="C23" s="47">
        <v>7200</v>
      </c>
      <c r="D23" s="47"/>
      <c r="E23" s="47"/>
      <c r="F23" s="47"/>
      <c r="G23" s="47"/>
      <c r="H23" s="47"/>
      <c r="I23" s="47"/>
      <c r="J23" s="47"/>
      <c r="K23" s="47"/>
      <c r="L23" s="50"/>
      <c r="M23" s="49"/>
      <c r="N23" s="49"/>
      <c r="O23" s="49"/>
      <c r="P23" s="49"/>
      <c r="Q23" s="49"/>
      <c r="S23"/>
    </row>
    <row r="24" spans="1:19" ht="45">
      <c r="A24" s="483" t="s">
        <v>724</v>
      </c>
      <c r="B24" s="47"/>
      <c r="C24" s="47"/>
      <c r="D24" s="47"/>
      <c r="E24" s="47"/>
      <c r="F24" s="47"/>
      <c r="G24" s="47"/>
      <c r="H24" s="47">
        <v>6000</v>
      </c>
      <c r="I24" s="47"/>
      <c r="J24" s="47"/>
      <c r="K24" s="47"/>
      <c r="L24" s="50"/>
      <c r="M24" s="49"/>
      <c r="N24" s="49"/>
      <c r="O24" s="49"/>
      <c r="P24" s="49"/>
      <c r="Q24" s="49"/>
      <c r="S24"/>
    </row>
    <row r="25" spans="1:19" ht="30">
      <c r="A25" s="185" t="s">
        <v>705</v>
      </c>
      <c r="B25" s="47"/>
      <c r="C25" s="47"/>
      <c r="D25" s="47"/>
      <c r="E25" s="47"/>
      <c r="F25" s="47">
        <v>1751</v>
      </c>
      <c r="G25" s="47"/>
      <c r="H25" s="47"/>
      <c r="I25" s="47"/>
      <c r="J25" s="47"/>
      <c r="K25" s="47"/>
      <c r="M25" s="49"/>
      <c r="N25" s="49"/>
      <c r="O25" s="49"/>
      <c r="P25" s="49"/>
      <c r="Q25" s="49"/>
      <c r="S25"/>
    </row>
    <row r="26" spans="1:19" ht="15.75" customHeight="1">
      <c r="A26" s="362" t="s">
        <v>715</v>
      </c>
      <c r="B26" s="47">
        <v>124</v>
      </c>
      <c r="C26" s="47">
        <v>1281</v>
      </c>
      <c r="D26" s="373">
        <v>914</v>
      </c>
      <c r="E26" s="373"/>
      <c r="F26" s="47">
        <v>862</v>
      </c>
      <c r="G26" s="47">
        <v>102</v>
      </c>
      <c r="H26" s="47">
        <v>1099</v>
      </c>
      <c r="I26" s="47"/>
      <c r="J26" s="47">
        <v>213</v>
      </c>
      <c r="K26" s="47"/>
      <c r="M26" s="49"/>
      <c r="N26" s="49"/>
      <c r="O26" s="49"/>
      <c r="P26" s="49"/>
      <c r="Q26" s="49"/>
      <c r="S26"/>
    </row>
    <row r="27" spans="1:19" ht="15">
      <c r="A27" s="54" t="s">
        <v>221</v>
      </c>
      <c r="B27" s="53">
        <f aca="true" t="shared" si="2" ref="B27:K27">SUM(B17:B26)</f>
        <v>124</v>
      </c>
      <c r="C27" s="53">
        <f t="shared" si="2"/>
        <v>8743</v>
      </c>
      <c r="D27" s="53">
        <f t="shared" si="2"/>
        <v>914</v>
      </c>
      <c r="E27" s="53">
        <f t="shared" si="2"/>
        <v>0</v>
      </c>
      <c r="F27" s="53">
        <f t="shared" si="2"/>
        <v>2716</v>
      </c>
      <c r="G27" s="53">
        <f t="shared" si="2"/>
        <v>102</v>
      </c>
      <c r="H27" s="53">
        <f t="shared" si="2"/>
        <v>3991</v>
      </c>
      <c r="I27" s="53">
        <f t="shared" si="2"/>
        <v>3108</v>
      </c>
      <c r="J27" s="53">
        <f t="shared" si="2"/>
        <v>35006</v>
      </c>
      <c r="K27" s="53">
        <f t="shared" si="2"/>
        <v>0</v>
      </c>
      <c r="M27" s="46"/>
      <c r="N27" s="49"/>
      <c r="O27" s="49"/>
      <c r="P27" s="49"/>
      <c r="Q27" s="49"/>
      <c r="S27"/>
    </row>
    <row r="28" ht="15">
      <c r="F28" s="72"/>
    </row>
    <row r="30" spans="12:17" ht="12.75">
      <c r="L30" s="55"/>
      <c r="Q30" s="68"/>
    </row>
    <row r="31" ht="12.75">
      <c r="Q31" s="68"/>
    </row>
    <row r="32" ht="12.75">
      <c r="Q32" s="68"/>
    </row>
    <row r="33" ht="12.75">
      <c r="Q33" s="68"/>
    </row>
    <row r="34" ht="12.75">
      <c r="Q34" s="68"/>
    </row>
    <row r="35" ht="12.75">
      <c r="Q35" s="68"/>
    </row>
    <row r="36" ht="12.75">
      <c r="Q36" s="68"/>
    </row>
    <row r="37" ht="12.75">
      <c r="Q37" s="68"/>
    </row>
  </sheetData>
  <sheetProtection/>
  <printOptions/>
  <pageMargins left="0" right="0" top="0.5905511811023623" bottom="0.5905511811023623" header="0.5118110236220472" footer="0.5118110236220472"/>
  <pageSetup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3" sqref="B33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8"/>
  <sheetViews>
    <sheetView zoomScale="115" zoomScaleNormal="115" zoomScalePageLayoutView="0" workbookViewId="0" topLeftCell="A1">
      <selection activeCell="A68" sqref="A68"/>
    </sheetView>
  </sheetViews>
  <sheetFormatPr defaultColWidth="9.140625" defaultRowHeight="12.75"/>
  <cols>
    <col min="1" max="1" width="9.140625" style="55" customWidth="1"/>
  </cols>
  <sheetData>
    <row r="1" ht="12.75">
      <c r="A1" s="495">
        <v>160698</v>
      </c>
    </row>
    <row r="2" ht="12.75">
      <c r="A2" s="55">
        <v>45788</v>
      </c>
    </row>
    <row r="3" ht="12.75">
      <c r="A3" s="55">
        <v>23648</v>
      </c>
    </row>
    <row r="4" ht="12.75">
      <c r="A4" s="55">
        <v>49835</v>
      </c>
    </row>
    <row r="5" ht="12.75">
      <c r="A5" s="55">
        <v>56534</v>
      </c>
    </row>
    <row r="6" ht="12.75">
      <c r="A6" s="55">
        <v>57063</v>
      </c>
    </row>
    <row r="7" ht="12.75">
      <c r="A7" s="55">
        <v>3356</v>
      </c>
    </row>
    <row r="8" ht="12.75">
      <c r="A8" s="55">
        <v>108138</v>
      </c>
    </row>
    <row r="9" ht="12.75">
      <c r="A9" s="55">
        <v>4040</v>
      </c>
    </row>
    <row r="10" ht="12.75">
      <c r="A10" s="55">
        <v>2500</v>
      </c>
    </row>
    <row r="11" ht="12.75">
      <c r="A11" s="55">
        <v>31568</v>
      </c>
    </row>
    <row r="12" ht="12.75">
      <c r="A12" s="55">
        <v>1364</v>
      </c>
    </row>
    <row r="13" spans="1:5" ht="12.75">
      <c r="A13" s="55">
        <v>142212</v>
      </c>
      <c r="E13" s="48"/>
    </row>
    <row r="14" ht="12.75">
      <c r="A14" s="55">
        <v>2404</v>
      </c>
    </row>
    <row r="15" ht="12.75">
      <c r="A15" s="55">
        <v>3288</v>
      </c>
    </row>
    <row r="16" ht="12.75">
      <c r="A16" s="55">
        <v>2096</v>
      </c>
    </row>
    <row r="17" ht="12.75">
      <c r="A17" s="55">
        <v>77205</v>
      </c>
    </row>
    <row r="18" ht="12.75">
      <c r="A18" s="55">
        <v>5748</v>
      </c>
    </row>
    <row r="19" ht="12.75">
      <c r="A19" s="55">
        <v>36443</v>
      </c>
    </row>
    <row r="20" ht="12.75">
      <c r="A20" s="55">
        <v>2812</v>
      </c>
    </row>
    <row r="21" ht="12.75">
      <c r="A21" s="55">
        <v>48258</v>
      </c>
    </row>
    <row r="22" ht="12.75">
      <c r="A22" s="55">
        <v>21235</v>
      </c>
    </row>
    <row r="23" ht="12.75">
      <c r="A23" s="55">
        <v>45116</v>
      </c>
    </row>
    <row r="24" ht="12.75">
      <c r="A24" s="55">
        <v>6764</v>
      </c>
    </row>
    <row r="25" ht="12.75">
      <c r="A25" s="55">
        <v>20313</v>
      </c>
    </row>
    <row r="26" ht="12.75">
      <c r="A26" s="55">
        <v>43020</v>
      </c>
    </row>
    <row r="27" ht="12.75">
      <c r="A27" s="55">
        <v>35144</v>
      </c>
    </row>
    <row r="28" ht="12.75">
      <c r="A28" s="55">
        <v>41748</v>
      </c>
    </row>
    <row r="29" ht="12.75">
      <c r="A29" s="55">
        <v>42664</v>
      </c>
    </row>
    <row r="30" ht="12.75">
      <c r="A30" s="55">
        <v>44100</v>
      </c>
    </row>
    <row r="31" ht="12.75">
      <c r="A31" s="55">
        <v>39428</v>
      </c>
    </row>
    <row r="32" ht="12.75">
      <c r="A32" s="55">
        <v>64720</v>
      </c>
    </row>
    <row r="33" ht="12.75">
      <c r="A33" s="55">
        <v>27808</v>
      </c>
    </row>
    <row r="34" ht="12.75">
      <c r="A34" s="55">
        <v>22012</v>
      </c>
    </row>
    <row r="35" ht="12.75">
      <c r="A35" s="55">
        <v>2600</v>
      </c>
    </row>
    <row r="36" ht="12.75">
      <c r="A36" s="55">
        <v>4800</v>
      </c>
    </row>
    <row r="37" ht="12.75">
      <c r="A37" s="55">
        <v>1424</v>
      </c>
    </row>
    <row r="38" ht="12.75">
      <c r="A38" s="55">
        <v>10392</v>
      </c>
    </row>
    <row r="39" ht="12.75">
      <c r="A39" s="55">
        <v>12104</v>
      </c>
    </row>
    <row r="40" ht="12.75">
      <c r="A40" s="55">
        <v>17244</v>
      </c>
    </row>
    <row r="41" ht="12.75">
      <c r="A41" s="55">
        <v>5072</v>
      </c>
    </row>
    <row r="42" ht="12.75">
      <c r="A42" s="55">
        <v>32984</v>
      </c>
    </row>
    <row r="43" ht="12.75">
      <c r="A43" s="55">
        <v>5090</v>
      </c>
    </row>
    <row r="44" ht="12.75">
      <c r="A44" s="55">
        <v>7107</v>
      </c>
    </row>
    <row r="45" ht="12.75">
      <c r="A45" s="55">
        <v>12988</v>
      </c>
    </row>
    <row r="46" ht="12.75">
      <c r="A46" s="55">
        <v>979</v>
      </c>
    </row>
    <row r="47" ht="12.75">
      <c r="A47" s="55">
        <v>68568</v>
      </c>
    </row>
    <row r="48" ht="12.75">
      <c r="A48" s="55">
        <v>64600</v>
      </c>
    </row>
    <row r="49" ht="12.75">
      <c r="A49" s="55">
        <v>868</v>
      </c>
    </row>
    <row r="50" ht="12.75">
      <c r="A50" s="55">
        <v>7028</v>
      </c>
    </row>
    <row r="51" ht="12.75">
      <c r="A51" s="55">
        <v>12988</v>
      </c>
    </row>
    <row r="52" ht="12.75">
      <c r="A52" s="55">
        <v>18761</v>
      </c>
    </row>
    <row r="53" ht="12.75">
      <c r="A53" s="55">
        <v>8419</v>
      </c>
    </row>
    <row r="54" ht="12.75">
      <c r="A54" s="55">
        <v>49610</v>
      </c>
    </row>
    <row r="55" ht="12.75">
      <c r="A55" s="55">
        <v>40886</v>
      </c>
    </row>
    <row r="56" ht="12.75">
      <c r="A56" s="55">
        <v>22193</v>
      </c>
    </row>
    <row r="57" ht="12.75">
      <c r="A57" s="55">
        <v>5433</v>
      </c>
    </row>
    <row r="58" ht="12.75">
      <c r="A58" s="55">
        <v>2878</v>
      </c>
    </row>
    <row r="59" ht="12.75">
      <c r="A59" s="55">
        <v>924390</v>
      </c>
    </row>
    <row r="60" ht="12.75">
      <c r="A60" s="55">
        <v>3954</v>
      </c>
    </row>
    <row r="61" ht="12.75">
      <c r="A61" s="55">
        <v>3300</v>
      </c>
    </row>
    <row r="62" ht="12.75">
      <c r="A62" s="55">
        <v>7200</v>
      </c>
    </row>
    <row r="63" ht="12.75">
      <c r="A63" s="55">
        <v>4082</v>
      </c>
    </row>
    <row r="64" ht="12.75">
      <c r="A64" s="55">
        <v>1112557</v>
      </c>
    </row>
    <row r="65" ht="12.75">
      <c r="A65" s="55">
        <v>4001</v>
      </c>
    </row>
    <row r="66" ht="12.75">
      <c r="A66" s="55">
        <v>15845</v>
      </c>
    </row>
    <row r="67" ht="12.75">
      <c r="A67" s="55">
        <v>2575</v>
      </c>
    </row>
    <row r="68" ht="12.75">
      <c r="A68" s="496">
        <f>SUM(A1:A67)</f>
        <v>3811990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Ogres novada dome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Velberga</dc:creator>
  <cp:keywords/>
  <dc:description/>
  <cp:lastModifiedBy>Maija Ozola</cp:lastModifiedBy>
  <cp:lastPrinted>2018-10-19T11:42:18Z</cp:lastPrinted>
  <dcterms:created xsi:type="dcterms:W3CDTF">2006-04-20T10:34:24Z</dcterms:created>
  <dcterms:modified xsi:type="dcterms:W3CDTF">2019-01-11T12:42:29Z</dcterms:modified>
  <cp:category/>
  <cp:version/>
  <cp:contentType/>
  <cp:contentStatus/>
</cp:coreProperties>
</file>