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ielikums Nr.1   " sheetId="1" r:id="rId1"/>
    <sheet name="Pielikums Nr.2" sheetId="2" r:id="rId2"/>
    <sheet name="Transferti aģent.,pārvaldēm" sheetId="3" r:id="rId3"/>
  </sheets>
  <definedNames>
    <definedName name="_xlnm.Print_Titles" localSheetId="0">'Pielikums Nr.1   '!$7:$7</definedName>
  </definedNames>
  <calcPr fullCalcOnLoad="1"/>
</workbook>
</file>

<file path=xl/sharedStrings.xml><?xml version="1.0" encoding="utf-8"?>
<sst xmlns="http://schemas.openxmlformats.org/spreadsheetml/2006/main" count="862" uniqueCount="720">
  <si>
    <t>Papildus finansējums konkrētiem mērķiem</t>
  </si>
  <si>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</si>
  <si>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</si>
  <si>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</si>
  <si>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</si>
  <si>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</si>
  <si>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</si>
  <si>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</si>
  <si>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</si>
  <si>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</si>
  <si>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</si>
  <si>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</si>
  <si>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</si>
  <si>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</si>
  <si>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</si>
  <si>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</si>
  <si>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</si>
  <si>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</si>
  <si>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</si>
  <si>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</si>
  <si>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</si>
  <si>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</si>
  <si>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</si>
  <si>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</si>
  <si>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</si>
  <si>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</si>
  <si>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</si>
  <si>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</si>
  <si>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</si>
  <si>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</si>
  <si>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</si>
  <si>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</si>
  <si>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</si>
  <si>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</si>
  <si>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</si>
  <si>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</si>
  <si>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</si>
  <si>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</si>
  <si>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</si>
  <si>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</si>
  <si>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</si>
  <si>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</si>
  <si>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</si>
  <si>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</si>
  <si>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</si>
  <si>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</si>
  <si>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</si>
  <si>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</si>
  <si>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</si>
  <si>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</si>
  <si>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</si>
  <si>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</si>
  <si>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</si>
  <si>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</si>
  <si>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</si>
  <si>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</si>
  <si>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</si>
  <si>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</si>
  <si>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</si>
  <si>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</si>
  <si>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</si>
  <si>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</si>
  <si>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</si>
  <si>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</si>
  <si>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</si>
  <si>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</si>
  <si>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</si>
  <si>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</si>
  <si>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</si>
  <si>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</si>
  <si>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</si>
  <si>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</si>
  <si>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</si>
  <si>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</si>
  <si>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</si>
  <si>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</si>
  <si>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</si>
  <si>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</si>
  <si>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</si>
  <si>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</si>
  <si>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</si>
  <si>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</si>
  <si>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</si>
  <si>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</si>
  <si>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</si>
  <si>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</si>
  <si>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</si>
  <si>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</si>
  <si>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</si>
  <si>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</si>
  <si>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</si>
  <si>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</si>
  <si>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</si>
  <si>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</si>
  <si>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</si>
  <si>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</si>
  <si>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</si>
  <si>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</si>
  <si>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</si>
  <si>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</si>
  <si>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</si>
  <si>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</si>
  <si>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</si>
  <si>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</si>
  <si>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</si>
  <si>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</si>
  <si>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</si>
  <si>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</si>
  <si>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</si>
  <si>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</si>
  <si>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</si>
  <si>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</si>
  <si>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</si>
  <si>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</si>
  <si>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</si>
  <si>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</si>
  <si>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</si>
  <si>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</si>
  <si>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</si>
  <si>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</si>
  <si>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</si>
  <si>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</si>
  <si>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</si>
  <si>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</si>
  <si>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 xml:space="preserve">    Finansējums PA "Ogres kultūras centrs"</t>
  </si>
  <si>
    <t xml:space="preserve">    Pilsētas dekorēšana svētkiem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</si>
  <si>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</si>
  <si>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</si>
  <si>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</si>
  <si>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</si>
  <si>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</si>
  <si>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</si>
  <si>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</si>
  <si>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10.1.0.0.</t>
  </si>
  <si>
    <t>Naudas sodi</t>
  </si>
  <si>
    <t>21.3.5.0.</t>
  </si>
  <si>
    <t>Maksa par izglītības pakalpojumiem</t>
  </si>
  <si>
    <t>21.3.7.0.</t>
  </si>
  <si>
    <t>Būvvalde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</si>
  <si>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</si>
  <si>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</si>
  <si>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</si>
  <si>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</si>
  <si>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</si>
  <si>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</si>
  <si>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</si>
  <si>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</si>
  <si>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</si>
  <si>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</si>
  <si>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</si>
  <si>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</si>
  <si>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</si>
  <si>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</si>
  <si>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</si>
  <si>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</si>
  <si>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</si>
  <si>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</si>
  <si>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</si>
  <si>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</si>
  <si>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</si>
  <si>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</si>
  <si>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</si>
  <si>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</si>
  <si>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</si>
  <si>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</si>
  <si>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</si>
  <si>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</si>
  <si>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</si>
  <si>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</si>
  <si>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</si>
  <si>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</si>
  <si>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</si>
  <si>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</si>
  <si>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</si>
  <si>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</si>
  <si>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</si>
  <si>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Taurupes pagasts</t>
  </si>
  <si>
    <t>Kopā novadā:</t>
  </si>
  <si>
    <t>Atbalsts ģimenēm ar bērniem (Bāriņtiesas)</t>
  </si>
  <si>
    <t>18.6.0.0.</t>
  </si>
  <si>
    <t>4.1.3.0.</t>
  </si>
  <si>
    <t>Nekustamā īpašuma nodoklis par mājokļiem</t>
  </si>
  <si>
    <t>Pašvaldību saņemtie transferti no valsts budžeta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</si>
  <si>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</si>
  <si>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</si>
  <si>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</si>
  <si>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</si>
  <si>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</si>
  <si>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</si>
  <si>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</si>
  <si>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</si>
  <si>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</si>
  <si>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</si>
  <si>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</si>
  <si>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</si>
  <si>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</si>
  <si>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</si>
  <si>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</si>
  <si>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</si>
  <si>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</si>
  <si>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</si>
  <si>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</si>
  <si>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</si>
  <si>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</si>
  <si>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</si>
  <si>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</si>
  <si>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</si>
  <si>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</si>
  <si>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</si>
  <si>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</si>
  <si>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</si>
  <si>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</si>
  <si>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</si>
  <si>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</si>
  <si>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</si>
  <si>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</si>
  <si>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</si>
  <si>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</si>
  <si>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</si>
  <si>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</si>
  <si>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</si>
  <si>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</si>
  <si>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</si>
  <si>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</si>
  <si>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</si>
  <si>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</si>
  <si>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</si>
  <si>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</si>
  <si>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</si>
  <si>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</si>
  <si>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</si>
  <si>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</si>
  <si>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</si>
  <si>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</si>
  <si>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</si>
  <si>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</si>
  <si>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</si>
  <si>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</si>
  <si>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</si>
  <si>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</si>
  <si>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</si>
  <si>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</si>
  <si>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</si>
  <si>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</si>
  <si>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</si>
  <si>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</si>
  <si>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</si>
  <si>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</si>
  <si>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</si>
  <si>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</si>
  <si>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</si>
  <si>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</si>
  <si>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</si>
  <si>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</si>
  <si>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</si>
  <si>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</si>
  <si>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</si>
  <si>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Dabas resursu nodoklis</t>
  </si>
  <si>
    <t>03.200</t>
  </si>
  <si>
    <t xml:space="preserve">          Vēstures un mākslas muzejs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</si>
  <si>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</si>
  <si>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</si>
  <si>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</si>
  <si>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</si>
  <si>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</si>
  <si>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</si>
  <si>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 xml:space="preserve">       Norēķini ar citu pašvaldību sociālo pakalpojumu iestādēm</t>
  </si>
  <si>
    <t>08.29011</t>
  </si>
  <si>
    <t>Budžeta nodaļas vadītāja</t>
  </si>
  <si>
    <t>PA "Rosme"</t>
  </si>
  <si>
    <t>F20010000 AS</t>
  </si>
  <si>
    <t>F20010000 AB</t>
  </si>
  <si>
    <t>21.4.9.0</t>
  </si>
  <si>
    <t>Pārējie iepriekš neklasificētie pašu ieņēmumi</t>
  </si>
  <si>
    <t>04.11114</t>
  </si>
  <si>
    <t>04.2103</t>
  </si>
  <si>
    <t>05.1007</t>
  </si>
  <si>
    <t>08.1004</t>
  </si>
  <si>
    <t xml:space="preserve">       Struktūrvienība peldbaseins  "Neptūns"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</si>
  <si>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</si>
  <si>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</si>
  <si>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</si>
  <si>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</si>
  <si>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</si>
  <si>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</si>
  <si>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</si>
  <si>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</si>
  <si>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07.4501</t>
  </si>
  <si>
    <t>08.2301</t>
  </si>
  <si>
    <t xml:space="preserve">    Kultūras aktivitātes / pasākumi</t>
  </si>
  <si>
    <t>Projekts Skolēnu autobusi (Soc.droš.tīkls)</t>
  </si>
  <si>
    <t>10.70003</t>
  </si>
  <si>
    <t>Sociālā dienesta asistentu pakalpojumi</t>
  </si>
  <si>
    <t>Zaudējumi no valūtas kursa svārstībām</t>
  </si>
  <si>
    <t>01.83011</t>
  </si>
  <si>
    <t>01.83012</t>
  </si>
  <si>
    <t>01.83013</t>
  </si>
  <si>
    <t>03.2001</t>
  </si>
  <si>
    <t>04.11102</t>
  </si>
  <si>
    <t>04.11103</t>
  </si>
  <si>
    <t>04.4301</t>
  </si>
  <si>
    <t>05.30001</t>
  </si>
  <si>
    <t>05.4001</t>
  </si>
  <si>
    <t>06.2001</t>
  </si>
  <si>
    <t xml:space="preserve">       Projektu konkurss "Veidojam vidi ap mums Ogres novadā"</t>
  </si>
  <si>
    <t xml:space="preserve">      Pašvaldības teritoriju labiekārtošana</t>
  </si>
  <si>
    <t>07.2101</t>
  </si>
  <si>
    <t>08.29007</t>
  </si>
  <si>
    <t>10.70006</t>
  </si>
  <si>
    <t>Jauniešu garantijas ietvaros projekta "PROTI un DARI!" īstenošana</t>
  </si>
  <si>
    <t>08.29008</t>
  </si>
  <si>
    <t>06.60012</t>
  </si>
  <si>
    <t xml:space="preserve"> 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</si>
  <si>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</si>
  <si>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</si>
  <si>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</si>
  <si>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</si>
  <si>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</si>
  <si>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</si>
  <si>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</si>
  <si>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09.82001</t>
  </si>
  <si>
    <t>Karjeras atbalsts vispārējās un profesionālās izglītības iestādēs</t>
  </si>
  <si>
    <t>09.60010</t>
  </si>
  <si>
    <t>09.60020</t>
  </si>
  <si>
    <t>04.510010</t>
  </si>
  <si>
    <t>SAM 5,6,2, Degradētās teritorijas Pārogres industriālajā parkā revitalizācija</t>
  </si>
  <si>
    <t>Atbalsts izglītojamo individuālo kompetenču attīstībai</t>
  </si>
  <si>
    <t>09.82039</t>
  </si>
  <si>
    <t>08.2101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</si>
  <si>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</si>
  <si>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</si>
  <si>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</si>
  <si>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</si>
  <si>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</si>
  <si>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</si>
  <si>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</si>
  <si>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</si>
  <si>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</si>
  <si>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</si>
  <si>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</si>
  <si>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</si>
  <si>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</si>
  <si>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</si>
  <si>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</si>
  <si>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</si>
  <si>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Projektu konk. "Veidojam vidi ap mums"</t>
  </si>
  <si>
    <t>09.82045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</si>
  <si>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</si>
  <si>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</si>
  <si>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</si>
  <si>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</si>
  <si>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 xml:space="preserve">     Veselības veicināšanas pasākumiem</t>
  </si>
  <si>
    <t>Energoefektivitātes pasākumi</t>
  </si>
  <si>
    <t>SIA Ogres namsaimnieks finansējums domes deliģēto funkciju izpildei</t>
  </si>
  <si>
    <t>Ieņēmumi par  dokumentu izsniegšanu un kancelejas pakalpojumiem</t>
  </si>
  <si>
    <t>01.6001</t>
  </si>
  <si>
    <t>Finansējums Ogres un Ikšķiles PA "Tūrisma, sporta un atpūtas kompleksa "Zilie kalni"attīstības aģentūra"</t>
  </si>
  <si>
    <t>Projektu pieteikumu izstrāde, tehniskās dokumentācijas sagatavošana</t>
  </si>
  <si>
    <t>04.2102</t>
  </si>
  <si>
    <t xml:space="preserve">Centrālās Baltijas jūras reģiona programmas projekts "Nordic urban planning:  holistic approach for extreme weather" (NOAH) </t>
  </si>
  <si>
    <t>04.51015</t>
  </si>
  <si>
    <t>Parka ielas pārbūve</t>
  </si>
  <si>
    <t>Ielu tīrīšanai, atkritumu savākšanai,teritoriju labiekārtošanai</t>
  </si>
  <si>
    <t>05.30002</t>
  </si>
  <si>
    <t>Siltumnīcefekta gāzu emisiju samazināšana izbūvējot Ogres Centrālo bibliotēkas ēku</t>
  </si>
  <si>
    <t>06.3001</t>
  </si>
  <si>
    <t>Vispārējie ūdens apgādes izdevumi</t>
  </si>
  <si>
    <t>08.220</t>
  </si>
  <si>
    <t xml:space="preserve">    Kultūras centri, nami</t>
  </si>
  <si>
    <t xml:space="preserve">    Komunikāciju centrs Ķeipenē</t>
  </si>
  <si>
    <t>Kultūras mantojuma saglabāšana un attīstība Daugavas ceļā</t>
  </si>
  <si>
    <t>08.29012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</si>
  <si>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</si>
  <si>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</si>
  <si>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</si>
  <si>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</si>
  <si>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</si>
  <si>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</si>
  <si>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</si>
  <si>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</si>
  <si>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</si>
  <si>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</si>
  <si>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Pārējās izglītības iestāžu pedagogu profesionālās kompetences  pilnveide (Ģimnāzija)</t>
  </si>
  <si>
    <t>09.82046</t>
  </si>
  <si>
    <t xml:space="preserve">Erasmus + programmas projekts Nr.2018-1-EE01-KA229-047133 4 Darbīgās bites (Dzīpariņš) </t>
  </si>
  <si>
    <t>10.70009</t>
  </si>
  <si>
    <t>Konkurss Vides pieejamības nodrošināšana invalīdiem</t>
  </si>
  <si>
    <t>Erasmus+programmas projekts "ALLready a Success to School Life" (Pilnībā gatavs veiksmei skolā) Nr.2018-1-TR01-KA201-059716.Sākumsk.</t>
  </si>
  <si>
    <t>09.82011</t>
  </si>
  <si>
    <t>Sociālo pakalpojumu atbalsta sistēmas pilnveide projekta (GRT) Nr.9.2.2.2/16/I/001.</t>
  </si>
  <si>
    <t>10.70011</t>
  </si>
  <si>
    <t>Ogres novada pašvaldības domes</t>
  </si>
  <si>
    <t>5.5.3.0.</t>
  </si>
  <si>
    <t>8.9.0.0.</t>
  </si>
  <si>
    <t>Pārējie finanšu ieņēmumi</t>
  </si>
  <si>
    <t>12.0.0.0.</t>
  </si>
  <si>
    <t>Procentu ieņēmumi par maksas pakalpojumiem un pašu ieguldījumiem depozītā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</si>
  <si>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</si>
  <si>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04.51016</t>
  </si>
  <si>
    <t>04.51017</t>
  </si>
  <si>
    <t>04.51018</t>
  </si>
  <si>
    <t xml:space="preserve">      Koncesija atkritumu apsaimniekošana</t>
  </si>
  <si>
    <t xml:space="preserve">       Lietus ūdens kanalizācija </t>
  </si>
  <si>
    <t xml:space="preserve">       Notekūdeņu (savākšana un attīrīšana)</t>
  </si>
  <si>
    <t xml:space="preserve">   Bioloģiskās daudzveidības un ainavas aizsardzība</t>
  </si>
  <si>
    <t xml:space="preserve">       mājokļu apsaimniekošana</t>
  </si>
  <si>
    <t xml:space="preserve">       siltumapgāde</t>
  </si>
  <si>
    <t xml:space="preserve">       kapu saimniecība</t>
  </si>
  <si>
    <t xml:space="preserve">      Īpašumu uzmērīšanai un reģistrēšanai Zemesgrāmatā</t>
  </si>
  <si>
    <t xml:space="preserve">      Pārējie izdevumi</t>
  </si>
  <si>
    <t xml:space="preserve">      Nevalstisko organizāciju projektu atbalstam</t>
  </si>
  <si>
    <t xml:space="preserve">      Saimniecības nodaļa</t>
  </si>
  <si>
    <t>06.60026</t>
  </si>
  <si>
    <t>Ogres bijušās sanatorijas ieejas vestibils</t>
  </si>
  <si>
    <t>06.60027</t>
  </si>
  <si>
    <t>06.60028</t>
  </si>
  <si>
    <t xml:space="preserve">    Papildus aktivitātes  Ogres novada pašvaldības iestādēs (vasaras nometnes)</t>
  </si>
  <si>
    <t xml:space="preserve">       Projektu konkurss RADI Ogres novadam (Kultūras, sporta un izglītības pasākumi, mācības, kursi)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</si>
  <si>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</si>
  <si>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</si>
  <si>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09.810</t>
  </si>
  <si>
    <t>Pārējā izglītības vadība (Izglītības pārvalde)</t>
  </si>
  <si>
    <t xml:space="preserve">     Projekts Skolēnu autobusi (Šveice)</t>
  </si>
  <si>
    <t xml:space="preserve">      8.1.2.SAM "Uzlabot vispārējās izglītības iestāžu mācību vidi Ogres novadā"</t>
  </si>
  <si>
    <t>10.400</t>
  </si>
  <si>
    <t>10.500</t>
  </si>
  <si>
    <t xml:space="preserve">       ES projekts "Deinstitucionalizācija un sociālie pakalpojumi personām ar invaliditāti un bērniem"</t>
  </si>
  <si>
    <t>09.600139</t>
  </si>
  <si>
    <t>Ēdināšana Ogres skolās</t>
  </si>
  <si>
    <t>08.29023</t>
  </si>
  <si>
    <t>Brīvdabas skatuves būvniecība  un laukuma labiekārtošana Meņģelē</t>
  </si>
  <si>
    <t>09.5107</t>
  </si>
  <si>
    <t>Ogres Mūzikas un mākslas skola</t>
  </si>
  <si>
    <t>08.29024</t>
  </si>
  <si>
    <t>Projekts "TRĪS.KOPĀ.LABĀK", "Starpnovadu un starpinstitūciju sadarbība jaunatnes politikas īstenošanai vietējā līmenī".</t>
  </si>
  <si>
    <t>09.82047</t>
  </si>
  <si>
    <t>Erasmus programmas projekts Nr.2020-1-LV01-KA101-077352 Skolu mācību mobilitāte (ģimnāzija)</t>
  </si>
  <si>
    <t>09.82048</t>
  </si>
  <si>
    <t>Erasmus programmas projekts Nr.2020-1-IT02-KA229-079156 2, Skolas apmaiņas partnerība (Jaunogres vsk.)</t>
  </si>
  <si>
    <t>09.82049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</si>
  <si>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</si>
  <si>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</si>
  <si>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</si>
  <si>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</si>
  <si>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</si>
  <si>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</si>
  <si>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</si>
  <si>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</si>
  <si>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</si>
  <si>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</si>
  <si>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04.51005</t>
  </si>
  <si>
    <t>Blaumaņa ielas Ogrē pārbūve</t>
  </si>
  <si>
    <t>04.51020</t>
  </si>
  <si>
    <t>Rožu ielas Ogrē pārbūve</t>
  </si>
  <si>
    <t>04.51022</t>
  </si>
  <si>
    <t>04.51023</t>
  </si>
  <si>
    <t>04.51024</t>
  </si>
  <si>
    <t>Egļu ielas Ogrē pārbūve</t>
  </si>
  <si>
    <t>Kadiķu ielas Ogrē pārbūve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</si>
  <si>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</si>
  <si>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</si>
  <si>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</si>
  <si>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Birzgales ielas, Ogrē pārbūve</t>
  </si>
  <si>
    <t>06.60029</t>
  </si>
  <si>
    <t>Tirgus laukuma Suntažos uzturēšanai</t>
  </si>
  <si>
    <t>Reliģisko organizāciju un citu biedrību un nodibinājumu pakalpojumi (Sakrālā mantojuma saglabāšana)</t>
  </si>
  <si>
    <t>04.51026</t>
  </si>
  <si>
    <t>Gājēju ietves izbūve Madlienā</t>
  </si>
  <si>
    <t>Civilās aizsardzības pasākumi (COVID-19 izdevumi)</t>
  </si>
  <si>
    <t>Projekts "Uzņēmējdarbības attīstība Ogres stacijas rajonā, pārbūvējot uzņēmējiem svarīgu ielas posmu un laukumu Ogrē'' un Stacijas laukuma stāvlaukuma pārbūve.</t>
  </si>
  <si>
    <t>Finansējums bērniem, kuri apmeklē privātās izglītības iestādes</t>
  </si>
  <si>
    <t>09.21912</t>
  </si>
  <si>
    <t>ES projekts Digitālo mācību un metodisko līdzekļu izstrāde Uzdevumi.lv modernizācijai Nr.8.3.1.2/19/A/005.(1.vsk.)</t>
  </si>
  <si>
    <t>09.82055</t>
  </si>
  <si>
    <t>Pārējie iepriekš neklasificētie vispārējie valdības dienesti (Vēlēšanas)</t>
  </si>
  <si>
    <t xml:space="preserve">LAD projekts  "Rotaļu laukuma izveide Ogres novada Ķeipenes pagastā" </t>
  </si>
  <si>
    <t>09.82056</t>
  </si>
  <si>
    <t>Jaunu Pašvaldības pakalpojumu sniegšanas veidu attīstība</t>
  </si>
  <si>
    <t>Ogres novada pašvaldības 2021.gada pamatbudžeta ieņēmumi.</t>
  </si>
  <si>
    <t xml:space="preserve">Ogres un Ogresgala 2021.g. budžets </t>
  </si>
  <si>
    <t>Pašvald. aģentūras "Ogres komunikācijas" 2021.g. budžets</t>
  </si>
  <si>
    <t>Pašvald. aģentūras "Rosme" 2021.g. budžets</t>
  </si>
  <si>
    <t>Suntažu pagasta pārvaldes 2021.g. budžets</t>
  </si>
  <si>
    <t>Lauberes pagasta pārvaldes 2021.g. budžets</t>
  </si>
  <si>
    <t>Ķeipenes pagasta pārvaldes 2021.g. budžets</t>
  </si>
  <si>
    <t>Madlienas pagasta pārvaldes 2021.g. budžets</t>
  </si>
  <si>
    <t>Krapes pagasta pārvaldes 2021.g. budžets</t>
  </si>
  <si>
    <t>Mazozolu pagasta pārvaldes 2021.g. budžets</t>
  </si>
  <si>
    <t>Meņģeles pagasta pārvaldes 2021.g. budžets</t>
  </si>
  <si>
    <t>Taurupes pagasta pārvaldes 2021.g. budžets</t>
  </si>
  <si>
    <t>Ogres novada pašvaldības 2021.g. budžets</t>
  </si>
  <si>
    <t>Budžeta  atl.uz  01. 01. 2021.g.        F22010010</t>
  </si>
  <si>
    <t>Ogres novada pašvaldības 2021. gada pamatbudžeta  izdevumi atbilstoši funkcionālajām kategorijām.</t>
  </si>
  <si>
    <t>Iekārtā (gājēju) tilta pār Ogres upi teritorijā starp J.Čakstes pr. un Ogres ielu Ogrē, būvniecība</t>
  </si>
  <si>
    <t>04.51027</t>
  </si>
  <si>
    <t>Madlienas pag. autoceļa A1 posma no P32 līdz iebrauktuvei uz Madlienas vidusskolu pārbūve</t>
  </si>
  <si>
    <t>04.51028</t>
  </si>
  <si>
    <t>Poruka ielas, Ogrē pārbūve</t>
  </si>
  <si>
    <t>04.51029</t>
  </si>
  <si>
    <t xml:space="preserve">Čakstes/Strēlnieku prospekta līdz Dārza ielai atjaunošana </t>
  </si>
  <si>
    <t>04.51030</t>
  </si>
  <si>
    <t xml:space="preserve">Čakstes prospekta no Mazās Ķentes ielas līdz Skalbju ielai atjaunošana </t>
  </si>
  <si>
    <t>04.51031</t>
  </si>
  <si>
    <t xml:space="preserve">Dārza ielas līdz autoceļam A6 atjaunošana </t>
  </si>
  <si>
    <t>04.51032</t>
  </si>
  <si>
    <t>Lielvārdes ielas virsmas atjaunošana</t>
  </si>
  <si>
    <t>04.51033</t>
  </si>
  <si>
    <t xml:space="preserve">Stirnu ielas virsmas atjaunošana </t>
  </si>
  <si>
    <t>04.51034</t>
  </si>
  <si>
    <t>Miera ielas pārbūve</t>
  </si>
  <si>
    <t>04.51035</t>
  </si>
  <si>
    <t>Bumbieru ielas, Ogresgalā pārbūve</t>
  </si>
  <si>
    <t>04.51037</t>
  </si>
  <si>
    <t>Autostāvlaukuma izbūve Mālkalnes prospektā 43, Ogrē</t>
  </si>
  <si>
    <t>04.51038</t>
  </si>
  <si>
    <t>Velo trase ar izciļņiem (Pump track)</t>
  </si>
  <si>
    <t>04.51039</t>
  </si>
  <si>
    <t>Ceriņu ielas, Ogrē pārbūve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</si>
  <si>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</si>
  <si>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</si>
  <si>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</si>
  <si>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</si>
  <si>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</si>
  <si>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</si>
  <si>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09.82057</t>
  </si>
  <si>
    <t>Erasmus programmas projekts Nr.2020-1-TR01-KA229-092959 4, Pusaudžu domasi, (sākumskola)</t>
  </si>
  <si>
    <t>09.82058</t>
  </si>
  <si>
    <t>Erasmus programmas projekts Nr.2020-1-DE03-KA229-077592 6, Eiropas ilgtspējīgas un pietiekamības skola, (1.VSK.)</t>
  </si>
  <si>
    <t>Ogres novada pašvaldības 2021. gada pamatbudžeta  izdevumi atbilstoši ekonomiskajām kategorijām.</t>
  </si>
  <si>
    <t>08.29025</t>
  </si>
  <si>
    <t>"Ogre-Eiropas kultūras galvaspilsēta 2027"</t>
  </si>
  <si>
    <t>06.60031</t>
  </si>
  <si>
    <t>Projekts "Sugu un biotopu stāvokļa uzlabošanas pasākumi īpaši aizsargājamajā dabas teritorijā "Ogres ieleja""</t>
  </si>
  <si>
    <t>06.3002</t>
  </si>
  <si>
    <t>09.82059</t>
  </si>
  <si>
    <t>09.82060</t>
  </si>
  <si>
    <t>Urbuma un ūdensapgādes sistēmas būvniecība Krapē daudzdzīvokļu mājai “Modernieki”</t>
  </si>
  <si>
    <t>Vides pieejamības nodrošināšanai Ogres Valsts ģimnāzijai</t>
  </si>
  <si>
    <t>"Pašvaldības ēkas fasādes un kabinetu (telpu grupu) atjaunošana Ziedu ielā3, Ķeipenē"</t>
  </si>
  <si>
    <t>08.4001</t>
  </si>
  <si>
    <t>9.1.0.0.</t>
  </si>
  <si>
    <t>Valsts nodevas par valsts sniegto nodrošinājumu un juridiskajiem un citiem pakalp.</t>
  </si>
  <si>
    <t xml:space="preserve">    Sudrabu Edžus memoriālā istaba</t>
  </si>
  <si>
    <t>Birzgales muzejs "Rūķi"</t>
  </si>
  <si>
    <t xml:space="preserve">Sports </t>
  </si>
  <si>
    <t>08.600</t>
  </si>
  <si>
    <t>Pārējie citur neklasificētie sporta, atpūtas, kultūras un reliģijas pakalpojumi</t>
  </si>
  <si>
    <t>Līdzfinansējumi dienas centriem</t>
  </si>
  <si>
    <t>Tūrisma attīstība</t>
  </si>
  <si>
    <t>ES struktūrf.proj."Vietējās sabiedr.veselības veicināš.un slimību profil.Ķeguma nov."</t>
  </si>
  <si>
    <t>Projekts "Daugava pie Kaibalas"</t>
  </si>
  <si>
    <t>Leader projekts 2020</t>
  </si>
  <si>
    <t>PII "Urdaviņa"</t>
  </si>
  <si>
    <t>PII "Čiekuriņš"</t>
  </si>
  <si>
    <t>PII Tīnūžu sākumskolā</t>
  </si>
  <si>
    <t>PII "Gaismiņa"</t>
  </si>
  <si>
    <t>PII "Birztaliņa"</t>
  </si>
  <si>
    <t>PII Ķeguma komercvidusskola</t>
  </si>
  <si>
    <t>Ķeguma komercnovirziena vidusskola</t>
  </si>
  <si>
    <t>Birzgales pamatskola</t>
  </si>
  <si>
    <t>Erasmus + programma  Līg.Nr. 2018-1-LV01-KA229-046985_1</t>
  </si>
  <si>
    <t>ESF proj.Nr.8.3.5.0/16/I/001"Karjeras atbalsts visp.un prof. izglītības iestādēs"</t>
  </si>
  <si>
    <t>Birzgales mūzikas skola</t>
  </si>
  <si>
    <t>Ķeguma SAC "Senliepas"</t>
  </si>
  <si>
    <t>10.900</t>
  </si>
  <si>
    <t>Pārējā citur neklasificētā sociālā aizsardzība</t>
  </si>
  <si>
    <t>Skolēnu nodarbinātība</t>
  </si>
  <si>
    <t>COVID-19</t>
  </si>
  <si>
    <t>Pārējo vispārējas  nozīmes dienestu darbība un pakalpojumi</t>
  </si>
  <si>
    <t>Projekts "Riekstu ielas izbūve"</t>
  </si>
  <si>
    <t>Projekts Raiņa ielas-Gaismas ielas, edgarakauliņa, Austrinu ceļa atjaunošana</t>
  </si>
  <si>
    <t>Uzvaras, Meža ielas atjaunošana</t>
  </si>
  <si>
    <t>3 Ielu atjaunošanas projekti Lielvārdē, ziemeļu pusē</t>
  </si>
  <si>
    <t xml:space="preserve"> Projekts Īpaši aizsargājamās dabas teritorijas Daugava pie Kaibalas dabas aizsardzības plānā noteikto tūrisma un dabas aizsardzības aktivitāšu ieviešana</t>
  </si>
  <si>
    <t>Ielu apgaismojuma infrastruktūras atjaunošana /paplašināšana (Kaibalas skola -Silakalni-Krasti, Burtnieku iela, Jumpravas pag. Inženieru un Dzelzceļa iela, Dzelmes)</t>
  </si>
  <si>
    <t>EKLV projektēšana</t>
  </si>
  <si>
    <t>Sabiedrības līdzlemta budžetēšana. Iedzīvotāju projekta ideju relizācija atbilstoši Attīstības programmai</t>
  </si>
  <si>
    <t>Lielvārdes KC Jumta un lielās zāles remontam</t>
  </si>
  <si>
    <t>Lēdmanes pagasta teritorijas "Gaismas" laukuma labiekārtošanas darbi (bruģēšana + apgaismojums).</t>
  </si>
  <si>
    <t>Dzīvojamās mājas "Vecavoti" fasādes remonts</t>
  </si>
  <si>
    <t xml:space="preserve">  SIA Lielvārdes Remte-pašvaldības teritorijas un kapu apsaimniekošanai domes finansējums deliģētās funkcijas izpildei</t>
  </si>
  <si>
    <t>SIA Lielvārdes Remte-pašvaldības īpašumu -mājokļu apsaimniekošnai finansējums domes deliģētās funkcijas izpildei</t>
  </si>
  <si>
    <t>Lielvārdes pilsētas Lāčplēša laukuma pārbūve</t>
  </si>
  <si>
    <t>Projekts ESF Lielvārdes pilsētas veselības veicināšana</t>
  </si>
  <si>
    <t>Projekts ERAF Lielvārdes poliklīnikas infrastruktūras uzlabošana A.Kauliņas un L.Rancānes  ārsta praksēm</t>
  </si>
  <si>
    <t xml:space="preserve"> Veselības veicināšana-Projekts ESF Nr. 9.3.2.0/19/A/127-"Lielvārdes poliklīnikas infrastr.ārstu praksē</t>
  </si>
  <si>
    <t>Jaunas VPII būvniecība</t>
  </si>
  <si>
    <t xml:space="preserve"> VPII "Pūt vējiņi" </t>
  </si>
  <si>
    <t>Lielvārdes pamatskola</t>
  </si>
  <si>
    <t>Lēdmanes pamatskola</t>
  </si>
  <si>
    <t>Jumpravas pamatskola</t>
  </si>
  <si>
    <t>Valdemāra pamatskola</t>
  </si>
  <si>
    <t>Edkara Kauliņa Lielvārdes vidusskola</t>
  </si>
  <si>
    <t>ES fonda projekta Nr. 8.3.5.0/16/I001 "Karjeras atbalsts vispārējās un profesionālās izglītības</t>
  </si>
  <si>
    <t xml:space="preserve">  E.Kauliņa Lielvārdes vidusskola ERASMUS+ programmas projekts Nr.2019-1-ES01-KA229-064176-4</t>
  </si>
  <si>
    <t>Lielvārdes sporta centrs</t>
  </si>
  <si>
    <t>Lielvārdes Mūzikas un mākslas skola</t>
  </si>
  <si>
    <t xml:space="preserve"> ERASMUS+"A.L.C.H.M.I.A" PROJEKTS Nr.2020-1-FI01-KA227-SCH-092716 Lielvārdes Mūzikas un mākslas skola</t>
  </si>
  <si>
    <t>Skolēnu vasaras nodarbinātības pasākumi</t>
  </si>
  <si>
    <t>Izglītības atbalsta pasākumi, bērnu vasaras nometne</t>
  </si>
  <si>
    <t>Izglītības atbalsta pasākumi (izglītības nodaļa)</t>
  </si>
  <si>
    <t xml:space="preserve"> ESF projekta "Proti un Dari" Nr.8.3.3.0/15/I/001 īstenošana</t>
  </si>
  <si>
    <t>Erasmus+ 2020-1-FR01-KA229-080395_3 Jumpravas pamatskola</t>
  </si>
  <si>
    <t>Erasmus+ 2020-1-PL01-KA229-081470_4 Jumpravas pamatskola</t>
  </si>
  <si>
    <t>Erasmus+ 2020-1-EE01-KA229-077961_4 Jumpravas pamatskola</t>
  </si>
  <si>
    <t>Erasmus+ 2020-1-LV01-KA229-077484 Jumpravas pamatskola</t>
  </si>
  <si>
    <t>Erasmus+ 2020-1-AT01-KA229-078145_3 Jumpravas pamatskola</t>
  </si>
  <si>
    <t>10.120</t>
  </si>
  <si>
    <t xml:space="preserve"> Sociālā aizsardzība invaliditātes gadījumā (asistenti)</t>
  </si>
  <si>
    <t xml:space="preserve"> Izglītības atbalsta pasākumi-sociālie pedagogi</t>
  </si>
  <si>
    <t>Bērnu vasaras nometnes (Jumpravā, Dienas centra)</t>
  </si>
  <si>
    <t>Pabalsti administrācija</t>
  </si>
  <si>
    <t>F55 01 00 10</t>
  </si>
  <si>
    <t>Valsts kases aizņēmumi</t>
  </si>
  <si>
    <t>Ikšķiles pilsētas un Tīnūžu pagasta pārvaldes 2021.g. budžets</t>
  </si>
  <si>
    <t>06.60032</t>
  </si>
  <si>
    <t>08.29026</t>
  </si>
  <si>
    <t>Ivestīciju projekts "Esošās ēkas rekonstrukcija Taurupes muižas klēts pārbūve"</t>
  </si>
  <si>
    <t>Investīciju projekts "Inženierbūves atjaunošana" Zvaigžņu iela 11, Ogrē</t>
  </si>
  <si>
    <t xml:space="preserve">    Līdzekļi, kas nododami finanšu izlīdzināšanas fondam</t>
  </si>
  <si>
    <t>Attīstības nodaļa</t>
  </si>
  <si>
    <t>Jaunatnes aktivitātes</t>
  </si>
  <si>
    <t>“Tūrisma, sporta un atpūtas komplekss“ ZILIE KALNI”</t>
  </si>
  <si>
    <t>Kultūras mantojuma centrs "Tīnūžu muiža"</t>
  </si>
  <si>
    <t>Projekts "Latvijas-Igaunijas Kopīgā Militārā Mantojuma Tūrisma Produkts""</t>
  </si>
  <si>
    <t>SIA Ikšķiles māja finansējums domes deliģēto funkciju izpildei</t>
  </si>
  <si>
    <t>Finansējums privātiem bērnu uzraudzības pakalpojumu sniedzējiem</t>
  </si>
  <si>
    <t>Tīnūžu sākumskola</t>
  </si>
  <si>
    <t>Ikšķiles vidusskola</t>
  </si>
  <si>
    <t>Ikšķiles Sporta skola</t>
  </si>
  <si>
    <t>Ikšķiles Mūzikas un mākslas skola</t>
  </si>
  <si>
    <t>Finansējums bērniem, kuri apmeklē privātās interešu izglītības iestādes</t>
  </si>
  <si>
    <t>Pašvaldību savstrapējie norēkini par izglītības paklpojumiem</t>
  </si>
  <si>
    <t>Ikšķiles vidusskola - ERASMUS+ programma Skolu apmaiņas partnerība</t>
  </si>
  <si>
    <t xml:space="preserve"> ERASMUS + projekts Cross-sectorial cooperation for reaching out to the youth</t>
  </si>
  <si>
    <t>ERASMUS + projekts The power of youth - Shaking the Present, Building the Future</t>
  </si>
  <si>
    <t>Jaunatnes starptautisko programmu aģentūras projekts "Atbalsts IKvienam jaunietim"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</si>
  <si>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</si>
  <si>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</si>
  <si>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</si>
  <si>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 xml:space="preserve">Teritoriju un mājokļu apsaimniekošana </t>
  </si>
  <si>
    <t>Birzgales komunālā nodaļa</t>
  </si>
  <si>
    <t>Autoceļu fonds</t>
  </si>
  <si>
    <t>Kultūras pārvalde</t>
  </si>
  <si>
    <t>Interešu izglītības iestādes</t>
  </si>
  <si>
    <t>Skolēnu vasaras nodarbinātības programma</t>
  </si>
  <si>
    <t>03.3900</t>
  </si>
  <si>
    <t>Pārējās tieslietu iestādes</t>
  </si>
  <si>
    <t>Aprūpes pakalpojumi bērniem</t>
  </si>
  <si>
    <t>04.730</t>
  </si>
  <si>
    <t>0.600</t>
  </si>
  <si>
    <t>07.450</t>
  </si>
  <si>
    <t>10.910</t>
  </si>
  <si>
    <t>F40 02 00 20</t>
  </si>
  <si>
    <t xml:space="preserve">Aizņēmumu atmaksa        </t>
  </si>
  <si>
    <t>F40 02 00 10</t>
  </si>
  <si>
    <t>01.300</t>
  </si>
  <si>
    <t xml:space="preserve">Līdzfinansējumi </t>
  </si>
  <si>
    <t>09.82061</t>
  </si>
  <si>
    <t>Atbalsts bērnu un jauniešu nometņu organizēšanai Ogres novada pašvaldības iestādēs</t>
  </si>
  <si>
    <t>Ķeguma pilsētas un pagastu pārvaldes 2021.g. budžets</t>
  </si>
  <si>
    <t>Lielvārdes pilsētas un pagastu pārvaldes 2021.g. budžets</t>
  </si>
  <si>
    <t>Uzņēmējdarbības  attīstības veicināšanai (skolēnu nodarbinātība vasarā)</t>
  </si>
  <si>
    <t>09.82062</t>
  </si>
  <si>
    <t>09.82063</t>
  </si>
  <si>
    <t>Jaunatnes starptautisko programmu aģentūras projekts "Nesēdi mājās-strādā ar sevi" Ķegums</t>
  </si>
  <si>
    <t>04.51041</t>
  </si>
  <si>
    <t>04.51042</t>
  </si>
  <si>
    <t>04.51043</t>
  </si>
  <si>
    <t>"Madlienas ielas seguma atjaunošana un lietus ūdens kanalizācijas sistēmas izveide" realizācijai</t>
  </si>
  <si>
    <t>"Lauberes ielas seguma atjaunošana un lietus ūdens kanalizācijas sistēmas izveide" realizācijai</t>
  </si>
  <si>
    <t>"Bezdelīgu ielas seguma atjaunošana un lietus ūdens kanalizācijas sistēmas izveide" realizācijai</t>
  </si>
  <si>
    <t>Pārējie valsts budžeta uzturēšanas izdevumu transferti citiem budžetiem</t>
  </si>
  <si>
    <t xml:space="preserve">   </t>
  </si>
  <si>
    <t>09.82064</t>
  </si>
  <si>
    <t>ERASMUS proj. Sociālā uzņēmējdarbība Eiropā</t>
  </si>
  <si>
    <t>Mērķdot. piemaksai PII ped.darb.sam. Covid laikā</t>
  </si>
  <si>
    <t>Transferti kredītu maksājumiem</t>
  </si>
  <si>
    <t>Sūkņu stacijas (Ogres vārti) projektēšana</t>
  </si>
  <si>
    <t>"Jauniešu māja" Brīvības 40, Ogrē pārbūve</t>
  </si>
  <si>
    <t>Pašvald. aģentūras "Kultūras centrs" 2021.g. budžets     9 mēn</t>
  </si>
  <si>
    <t>Ogres novada Kultūras centrs 2021.g. budžets    3 mēn.</t>
  </si>
  <si>
    <t>No vispārējiem ieņēmumiem (12 mēn.)*</t>
  </si>
  <si>
    <t>Mērķdot. ceļu uzturēšanai</t>
  </si>
  <si>
    <t>Finan. māc.līdz. un grāmatu iegādei</t>
  </si>
  <si>
    <t>Digitālo mācību līdzekļu iegādei</t>
  </si>
  <si>
    <t xml:space="preserve">Finan. 5-6 gad. māc.līdz. un grāmatu iegādei </t>
  </si>
  <si>
    <t>5-6 gad. digitālo mācību līdzekļu iegādei</t>
  </si>
  <si>
    <t>Dotācija sporta, mūzikas sk. ped. darb.sam. (12 mēn.)</t>
  </si>
  <si>
    <t>Valsts fin. 1.,2.,3.,4. klases skoln. ēdināš.</t>
  </si>
  <si>
    <t>Pašv. fin. 1.,2.,3.,4. klases skoln. ēdināš.</t>
  </si>
  <si>
    <t>Transferts soc. pabalstiem par bērnu ēdināšanu</t>
  </si>
  <si>
    <t>No dabas resursu nodokļa</t>
  </si>
  <si>
    <t>Ogres kult.c.</t>
  </si>
  <si>
    <t>Summa</t>
  </si>
  <si>
    <t>Mazozoli:</t>
  </si>
  <si>
    <t xml:space="preserve">Mērķdot. Mākslin. kolekt.vad. darb.sam.    </t>
  </si>
  <si>
    <r>
      <t>Tai skaitā</t>
    </r>
    <r>
      <rPr>
        <sz val="10"/>
        <rFont val="Times New Roman"/>
        <family val="1"/>
      </rPr>
      <t xml:space="preserve"> ņemta vērā līdzekļu pārdale ar PA Rosme</t>
    </r>
  </si>
  <si>
    <t>Valsts fin.  bērnu un jauniešu nometņu organizēš.</t>
  </si>
  <si>
    <t xml:space="preserve"> Madl. pans. Sunt. bijuš. internātsk. Telpu uzt.</t>
  </si>
  <si>
    <t>Deliģēto funkciju izpildei</t>
  </si>
  <si>
    <t>Bezdarb nieku stipendijas</t>
  </si>
  <si>
    <t>Ogres komunikācijas</t>
  </si>
  <si>
    <t>Ogres kultūras centrs</t>
  </si>
  <si>
    <t>Ikšķiles pils. un Tīnūžu pagasts</t>
  </si>
  <si>
    <t>Ķeguma pils. un Rembates pagasts</t>
  </si>
  <si>
    <t>Lielvārdes pilsētas un pagasts</t>
  </si>
  <si>
    <r>
      <t xml:space="preserve">Informācija par Ogres novada 2021.gada pamatbudžeta transferta maksājumiem pēc </t>
    </r>
    <r>
      <rPr>
        <b/>
        <sz val="12"/>
        <rFont val="Times New Roman"/>
        <family val="1"/>
      </rPr>
      <t xml:space="preserve"> ATR ( EUR )</t>
    </r>
    <r>
      <rPr>
        <sz val="12"/>
        <rFont val="Times New Roman"/>
        <family val="1"/>
      </rPr>
      <t>, kādiem jābūt pēc  2021.gada  oktobra budžeta grozījumiem ( EUR ).</t>
    </r>
  </si>
  <si>
    <t>No visp. ieņēmumiem kompensāc. pedagogu darba samaksai    (12 mēn.)</t>
  </si>
  <si>
    <t>Mērķdot. visp.izgl. ped. darb.sam.    (12 mēn.)</t>
  </si>
  <si>
    <t>Mērķdotācija interešu izgl.        (12 mēn.)</t>
  </si>
  <si>
    <t>Mērķdot. 5.-6.gad. apm. ped.darb.sam. (12 mēn.)</t>
  </si>
  <si>
    <t>Mērķdot. ped.darb. sam. Covid laikā par individuāl. konsult.</t>
  </si>
  <si>
    <t>Mērķdotācija Valdemāra pamatsk.      (4 mēn.) pansion.        (12 mēn.)</t>
  </si>
  <si>
    <t>5-9       klases skoln. ēdināš.</t>
  </si>
  <si>
    <t>LM     asistentu pakalp.</t>
  </si>
  <si>
    <t>Soc dien. (audžu ģim.)</t>
  </si>
  <si>
    <t>PAOgres kultūras centrs</t>
  </si>
  <si>
    <t xml:space="preserve">Līdzfinansējums Mazozolu skolas ēkas fasādes atjaunošanai </t>
  </si>
  <si>
    <t>14.10.2021. Saistošajiem noteikumiem Nr.23/2021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</si>
</sst>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\ &quot;Ls&quot;;[Red]\-#,##0\ &quot;Ls&quot;"/>
    <numFmt numFmtId="177" formatCode="_-* #,##0\ &quot;Ls&quot;_-;\-* #,##0\ &quot;Ls&quot;_-;_-* &quot;-&quot;\ &quot;Ls&quot;_-;_-@_-"/>
    <numFmt numFmtId="178" formatCode="_-* #,##0\ _L_s_-;\-* #,##0\ _L_s_-;_-* &quot;-&quot;\ _L_s_-;_-@_-"/>
    <numFmt numFmtId="179" formatCode="_-* #,##0.00\ &quot;Ls&quot;_-;\-* #,##0.00\ &quot;Ls&quot;_-;_-* &quot;-&quot;??\ &quot;Ls&quot;_-;_-@_-"/>
    <numFmt numFmtId="180" formatCode="_-* #,##0.00\ _L_s_-;\-* #,##0.00\ _L_s_-;_-* &quot;-&quot;??\ _L_s_-;_-@_-"/>
    <numFmt numFmtId="181" formatCode="0.0"/>
    <numFmt numFmtId="182" formatCode="0.000"/>
    <numFmt numFmtId="183" formatCode="0.0%"/>
    <numFmt numFmtId="184" formatCode="#,##0.0"/>
    <numFmt numFmtId="185" formatCode="#,##0.000"/>
    <numFmt numFmtId="186" formatCode="#,##0_);\(#,##0\)"/>
    <numFmt numFmtId="187" formatCode="#,##0_ ;[Red]\-#,##0\ 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  <numFmt numFmtId="192" formatCode="[$€-2]\ #,##0;[Red]\-[$€-2]\ #,##0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0" fontId="21" fillId="20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13" fillId="6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3" fontId="5" fillId="24" borderId="10" xfId="0" applyNumberFormat="1" applyFont="1" applyFill="1" applyBorder="1" applyAlignment="1">
      <alignment/>
    </xf>
    <xf numFmtId="0" fontId="25" fillId="24" borderId="10" xfId="51" applyFont="1" applyFill="1" applyBorder="1" applyAlignment="1">
      <alignment horizontal="left" wrapText="1"/>
      <protection/>
    </xf>
    <xf numFmtId="0" fontId="5" fillId="24" borderId="10" xfId="0" applyFont="1" applyFill="1" applyBorder="1" applyAlignment="1">
      <alignment horizontal="left" wrapText="1"/>
    </xf>
    <xf numFmtId="3" fontId="5" fillId="24" borderId="11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/>
    </xf>
    <xf numFmtId="3" fontId="5" fillId="24" borderId="14" xfId="0" applyNumberFormat="1" applyFont="1" applyFill="1" applyBorder="1" applyAlignment="1">
      <alignment/>
    </xf>
    <xf numFmtId="3" fontId="5" fillId="24" borderId="10" xfId="0" applyNumberFormat="1" applyFont="1" applyFill="1" applyBorder="1" applyAlignment="1" applyProtection="1">
      <alignment horizontal="center"/>
      <protection/>
    </xf>
    <xf numFmtId="3" fontId="5" fillId="24" borderId="15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5" fillId="24" borderId="10" xfId="57" applyNumberFormat="1" applyFont="1" applyFill="1" applyBorder="1" applyAlignment="1">
      <alignment horizontal="left" wrapText="1"/>
      <protection/>
    </xf>
    <xf numFmtId="3" fontId="6" fillId="24" borderId="15" xfId="0" applyNumberFormat="1" applyFont="1" applyFill="1" applyBorder="1" applyAlignment="1">
      <alignment/>
    </xf>
    <xf numFmtId="0" fontId="5" fillId="0" borderId="10" xfId="57" applyFont="1" applyBorder="1">
      <alignment/>
      <protection/>
    </xf>
    <xf numFmtId="3" fontId="5" fillId="0" borderId="10" xfId="57" applyNumberFormat="1" applyFont="1" applyBorder="1" applyAlignment="1">
      <alignment wrapText="1"/>
      <protection/>
    </xf>
    <xf numFmtId="3" fontId="5" fillId="24" borderId="10" xfId="0" applyNumberFormat="1" applyFont="1" applyFill="1" applyBorder="1" applyAlignment="1">
      <alignment horizontal="left" wrapText="1"/>
    </xf>
    <xf numFmtId="3" fontId="5" fillId="24" borderId="10" xfId="0" applyNumberFormat="1" applyFont="1" applyFill="1" applyBorder="1" applyAlignment="1">
      <alignment horizontal="right"/>
    </xf>
    <xf numFmtId="0" fontId="5" fillId="24" borderId="0" xfId="0" applyFont="1" applyFill="1" applyAlignment="1">
      <alignment/>
    </xf>
    <xf numFmtId="3" fontId="5" fillId="24" borderId="0" xfId="0" applyNumberFormat="1" applyFont="1" applyFill="1" applyAlignment="1">
      <alignment wrapText="1"/>
    </xf>
    <xf numFmtId="1" fontId="5" fillId="24" borderId="0" xfId="0" applyNumberFormat="1" applyFont="1" applyFill="1" applyAlignment="1">
      <alignment/>
    </xf>
    <xf numFmtId="0" fontId="5" fillId="24" borderId="0" xfId="55" applyFont="1" applyFill="1" applyAlignment="1">
      <alignment horizontal="left"/>
      <protection/>
    </xf>
    <xf numFmtId="0" fontId="5" fillId="24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Border="1" applyAlignment="1">
      <alignment/>
    </xf>
    <xf numFmtId="0" fontId="25" fillId="24" borderId="19" xfId="0" applyFont="1" applyFill="1" applyBorder="1" applyAlignment="1">
      <alignment horizontal="center" vertical="center"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3" fontId="5" fillId="24" borderId="20" xfId="0" applyNumberFormat="1" applyFont="1" applyFill="1" applyBorder="1" applyAlignment="1" applyProtection="1">
      <alignment horizontal="center" vertical="center" wrapText="1"/>
      <protection/>
    </xf>
    <xf numFmtId="0" fontId="5" fillId="24" borderId="21" xfId="53" applyFont="1" applyFill="1" applyBorder="1" applyAlignment="1">
      <alignment horizontal="center" vertical="center" wrapText="1"/>
      <protection/>
    </xf>
    <xf numFmtId="0" fontId="5" fillId="24" borderId="20" xfId="0" applyFont="1" applyFill="1" applyBorder="1" applyAlignment="1" applyProtection="1">
      <alignment horizontal="center" vertical="center" wrapText="1"/>
      <protection/>
    </xf>
    <xf numFmtId="0" fontId="5" fillId="24" borderId="20" xfId="54" applyFont="1" applyFill="1" applyBorder="1" applyAlignment="1">
      <alignment vertical="center" wrapText="1"/>
      <protection/>
    </xf>
    <xf numFmtId="0" fontId="5" fillId="24" borderId="22" xfId="54" applyFont="1" applyFill="1" applyBorder="1" applyAlignment="1">
      <alignment vertical="center" wrapText="1"/>
      <protection/>
    </xf>
    <xf numFmtId="0" fontId="5" fillId="24" borderId="23" xfId="54" applyFont="1" applyFill="1" applyBorder="1" applyAlignment="1">
      <alignment vertical="center" wrapText="1"/>
      <protection/>
    </xf>
    <xf numFmtId="0" fontId="6" fillId="24" borderId="24" xfId="50" applyFont="1" applyFill="1" applyBorder="1" applyAlignment="1" applyProtection="1">
      <alignment horizontal="center" vertical="center" wrapText="1"/>
      <protection/>
    </xf>
    <xf numFmtId="0" fontId="5" fillId="24" borderId="0" xfId="50" applyFont="1" applyFill="1" applyAlignment="1">
      <alignment wrapText="1"/>
      <protection/>
    </xf>
    <xf numFmtId="3" fontId="6" fillId="24" borderId="19" xfId="0" applyNumberFormat="1" applyFont="1" applyFill="1" applyBorder="1" applyAlignment="1">
      <alignment horizontal="right"/>
    </xf>
    <xf numFmtId="3" fontId="6" fillId="24" borderId="20" xfId="0" applyNumberFormat="1" applyFont="1" applyFill="1" applyBorder="1" applyAlignment="1">
      <alignment wrapText="1"/>
    </xf>
    <xf numFmtId="3" fontId="6" fillId="24" borderId="20" xfId="0" applyNumberFormat="1" applyFont="1" applyFill="1" applyBorder="1" applyAlignment="1">
      <alignment/>
    </xf>
    <xf numFmtId="3" fontId="6" fillId="24" borderId="22" xfId="0" applyNumberFormat="1" applyFont="1" applyFill="1" applyBorder="1" applyAlignment="1">
      <alignment/>
    </xf>
    <xf numFmtId="3" fontId="6" fillId="24" borderId="24" xfId="0" applyNumberFormat="1" applyFont="1" applyFill="1" applyBorder="1" applyAlignment="1">
      <alignment/>
    </xf>
    <xf numFmtId="181" fontId="5" fillId="24" borderId="0" xfId="0" applyNumberFormat="1" applyFont="1" applyFill="1" applyAlignment="1">
      <alignment/>
    </xf>
    <xf numFmtId="3" fontId="5" fillId="24" borderId="25" xfId="0" applyNumberFormat="1" applyFont="1" applyFill="1" applyBorder="1" applyAlignment="1">
      <alignment horizontal="left"/>
    </xf>
    <xf numFmtId="3" fontId="5" fillId="24" borderId="26" xfId="0" applyNumberFormat="1" applyFont="1" applyFill="1" applyBorder="1" applyAlignment="1">
      <alignment wrapText="1"/>
    </xf>
    <xf numFmtId="3" fontId="5" fillId="24" borderId="26" xfId="0" applyNumberFormat="1" applyFont="1" applyFill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5" fillId="24" borderId="28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wrapText="1"/>
    </xf>
    <xf numFmtId="3" fontId="5" fillId="24" borderId="29" xfId="0" applyNumberFormat="1" applyFont="1" applyFill="1" applyBorder="1" applyAlignment="1">
      <alignment/>
    </xf>
    <xf numFmtId="3" fontId="5" fillId="24" borderId="28" xfId="0" applyNumberFormat="1" applyFont="1" applyFill="1" applyBorder="1" applyAlignment="1">
      <alignment horizontal="left"/>
    </xf>
    <xf numFmtId="3" fontId="5" fillId="24" borderId="30" xfId="0" applyNumberFormat="1" applyFont="1" applyFill="1" applyBorder="1" applyAlignment="1">
      <alignment/>
    </xf>
    <xf numFmtId="3" fontId="5" fillId="24" borderId="31" xfId="0" applyNumberFormat="1" applyFont="1" applyFill="1" applyBorder="1" applyAlignment="1">
      <alignment/>
    </xf>
    <xf numFmtId="1" fontId="5" fillId="24" borderId="11" xfId="0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/>
    </xf>
    <xf numFmtId="0" fontId="5" fillId="24" borderId="32" xfId="0" applyFont="1" applyFill="1" applyBorder="1" applyAlignment="1">
      <alignment horizontal="left"/>
    </xf>
    <xf numFmtId="0" fontId="5" fillId="24" borderId="13" xfId="0" applyFont="1" applyFill="1" applyBorder="1" applyAlignment="1">
      <alignment wrapText="1"/>
    </xf>
    <xf numFmtId="3" fontId="5" fillId="24" borderId="33" xfId="0" applyNumberFormat="1" applyFont="1" applyFill="1" applyBorder="1" applyAlignment="1">
      <alignment/>
    </xf>
    <xf numFmtId="3" fontId="2" fillId="24" borderId="13" xfId="0" applyNumberFormat="1" applyFont="1" applyFill="1" applyBorder="1" applyAlignment="1">
      <alignment/>
    </xf>
    <xf numFmtId="3" fontId="5" fillId="24" borderId="32" xfId="0" applyNumberFormat="1" applyFont="1" applyFill="1" applyBorder="1" applyAlignment="1">
      <alignment horizontal="left"/>
    </xf>
    <xf numFmtId="3" fontId="5" fillId="24" borderId="13" xfId="0" applyNumberFormat="1" applyFont="1" applyFill="1" applyBorder="1" applyAlignment="1">
      <alignment wrapText="1"/>
    </xf>
    <xf numFmtId="3" fontId="5" fillId="24" borderId="16" xfId="0" applyNumberFormat="1" applyFont="1" applyFill="1" applyBorder="1" applyAlignment="1">
      <alignment/>
    </xf>
    <xf numFmtId="3" fontId="5" fillId="24" borderId="34" xfId="0" applyNumberFormat="1" applyFont="1" applyFill="1" applyBorder="1" applyAlignment="1">
      <alignment/>
    </xf>
    <xf numFmtId="3" fontId="5" fillId="24" borderId="35" xfId="0" applyNumberFormat="1" applyFont="1" applyFill="1" applyBorder="1" applyAlignment="1">
      <alignment/>
    </xf>
    <xf numFmtId="3" fontId="6" fillId="24" borderId="36" xfId="0" applyNumberFormat="1" applyFont="1" applyFill="1" applyBorder="1" applyAlignment="1">
      <alignment/>
    </xf>
    <xf numFmtId="0" fontId="5" fillId="24" borderId="25" xfId="0" applyFont="1" applyFill="1" applyBorder="1" applyAlignment="1">
      <alignment horizontal="left"/>
    </xf>
    <xf numFmtId="0" fontId="6" fillId="24" borderId="14" xfId="0" applyFont="1" applyFill="1" applyBorder="1" applyAlignment="1">
      <alignment wrapText="1"/>
    </xf>
    <xf numFmtId="3" fontId="6" fillId="24" borderId="14" xfId="0" applyNumberFormat="1" applyFont="1" applyFill="1" applyBorder="1" applyAlignment="1">
      <alignment/>
    </xf>
    <xf numFmtId="3" fontId="6" fillId="24" borderId="37" xfId="0" applyNumberFormat="1" applyFont="1" applyFill="1" applyBorder="1" applyAlignment="1">
      <alignment/>
    </xf>
    <xf numFmtId="3" fontId="6" fillId="24" borderId="29" xfId="0" applyNumberFormat="1" applyFont="1" applyFill="1" applyBorder="1" applyAlignment="1">
      <alignment/>
    </xf>
    <xf numFmtId="3" fontId="5" fillId="24" borderId="38" xfId="0" applyNumberFormat="1" applyFont="1" applyFill="1" applyBorder="1" applyAlignment="1">
      <alignment/>
    </xf>
    <xf numFmtId="3" fontId="5" fillId="24" borderId="39" xfId="0" applyNumberFormat="1" applyFont="1" applyFill="1" applyBorder="1" applyAlignment="1">
      <alignment/>
    </xf>
    <xf numFmtId="3" fontId="6" fillId="24" borderId="40" xfId="0" applyNumberFormat="1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wrapText="1"/>
    </xf>
    <xf numFmtId="3" fontId="5" fillId="24" borderId="41" xfId="0" applyNumberFormat="1" applyFont="1" applyFill="1" applyBorder="1" applyAlignment="1">
      <alignment/>
    </xf>
    <xf numFmtId="3" fontId="6" fillId="24" borderId="19" xfId="0" applyNumberFormat="1" applyFont="1" applyFill="1" applyBorder="1" applyAlignment="1">
      <alignment horizontal="left"/>
    </xf>
    <xf numFmtId="3" fontId="5" fillId="24" borderId="42" xfId="0" applyNumberFormat="1" applyFont="1" applyFill="1" applyBorder="1" applyAlignment="1">
      <alignment horizontal="left"/>
    </xf>
    <xf numFmtId="3" fontId="5" fillId="24" borderId="14" xfId="0" applyNumberFormat="1" applyFont="1" applyFill="1" applyBorder="1" applyAlignment="1">
      <alignment wrapText="1"/>
    </xf>
    <xf numFmtId="3" fontId="5" fillId="24" borderId="43" xfId="0" applyNumberFormat="1" applyFont="1" applyFill="1" applyBorder="1" applyAlignment="1">
      <alignment/>
    </xf>
    <xf numFmtId="3" fontId="5" fillId="24" borderId="44" xfId="0" applyNumberFormat="1" applyFont="1" applyFill="1" applyBorder="1" applyAlignment="1">
      <alignment/>
    </xf>
    <xf numFmtId="3" fontId="6" fillId="24" borderId="23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 horizontal="left"/>
    </xf>
    <xf numFmtId="3" fontId="26" fillId="24" borderId="0" xfId="0" applyNumberFormat="1" applyFont="1" applyFill="1" applyAlignment="1">
      <alignment wrapText="1"/>
    </xf>
    <xf numFmtId="3" fontId="6" fillId="24" borderId="26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 horizontal="left"/>
    </xf>
    <xf numFmtId="3" fontId="6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/>
    </xf>
    <xf numFmtId="3" fontId="6" fillId="24" borderId="30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3" fontId="2" fillId="24" borderId="11" xfId="0" applyNumberFormat="1" applyFont="1" applyFill="1" applyBorder="1" applyAlignment="1">
      <alignment/>
    </xf>
    <xf numFmtId="3" fontId="2" fillId="24" borderId="41" xfId="0" applyNumberFormat="1" applyFont="1" applyFill="1" applyBorder="1" applyAlignment="1">
      <alignment/>
    </xf>
    <xf numFmtId="3" fontId="5" fillId="24" borderId="45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5" fillId="24" borderId="19" xfId="0" applyNumberFormat="1" applyFont="1" applyFill="1" applyBorder="1" applyAlignment="1">
      <alignment horizontal="right"/>
    </xf>
    <xf numFmtId="3" fontId="6" fillId="24" borderId="20" xfId="0" applyNumberFormat="1" applyFont="1" applyFill="1" applyBorder="1" applyAlignment="1">
      <alignment horizontal="right" wrapText="1"/>
    </xf>
    <xf numFmtId="3" fontId="6" fillId="24" borderId="20" xfId="0" applyNumberFormat="1" applyFont="1" applyFill="1" applyBorder="1" applyAlignment="1">
      <alignment horizontal="center"/>
    </xf>
    <xf numFmtId="3" fontId="6" fillId="24" borderId="22" xfId="0" applyNumberFormat="1" applyFont="1" applyFill="1" applyBorder="1" applyAlignment="1">
      <alignment horizontal="center"/>
    </xf>
    <xf numFmtId="3" fontId="5" fillId="24" borderId="26" xfId="0" applyNumberFormat="1" applyFont="1" applyFill="1" applyBorder="1" applyAlignment="1" applyProtection="1">
      <alignment/>
      <protection/>
    </xf>
    <xf numFmtId="3" fontId="5" fillId="24" borderId="26" xfId="0" applyNumberFormat="1" applyFont="1" applyFill="1" applyBorder="1" applyAlignment="1" applyProtection="1">
      <alignment horizontal="left" wrapText="1"/>
      <protection/>
    </xf>
    <xf numFmtId="3" fontId="6" fillId="24" borderId="10" xfId="0" applyNumberFormat="1" applyFont="1" applyFill="1" applyBorder="1" applyAlignment="1" applyProtection="1">
      <alignment/>
      <protection/>
    </xf>
    <xf numFmtId="3" fontId="6" fillId="24" borderId="10" xfId="0" applyNumberFormat="1" applyFont="1" applyFill="1" applyBorder="1" applyAlignment="1" applyProtection="1">
      <alignment horizontal="left" wrapText="1"/>
      <protection/>
    </xf>
    <xf numFmtId="3" fontId="6" fillId="24" borderId="10" xfId="0" applyNumberFormat="1" applyFont="1" applyFill="1" applyBorder="1" applyAlignment="1" applyProtection="1">
      <alignment horizontal="center"/>
      <protection/>
    </xf>
    <xf numFmtId="3" fontId="6" fillId="24" borderId="15" xfId="0" applyNumberFormat="1" applyFont="1" applyFill="1" applyBorder="1" applyAlignment="1" applyProtection="1">
      <alignment/>
      <protection/>
    </xf>
    <xf numFmtId="3" fontId="5" fillId="24" borderId="10" xfId="0" applyNumberFormat="1" applyFont="1" applyFill="1" applyBorder="1" applyAlignment="1" applyProtection="1">
      <alignment/>
      <protection/>
    </xf>
    <xf numFmtId="3" fontId="5" fillId="24" borderId="10" xfId="0" applyNumberFormat="1" applyFont="1" applyFill="1" applyBorder="1" applyAlignment="1" applyProtection="1">
      <alignment horizontal="left" wrapText="1"/>
      <protection/>
    </xf>
    <xf numFmtId="0" fontId="5" fillId="24" borderId="0" xfId="0" applyNumberFormat="1" applyFont="1" applyFill="1" applyAlignment="1">
      <alignment vertical="center"/>
    </xf>
    <xf numFmtId="3" fontId="5" fillId="24" borderId="0" xfId="0" applyNumberFormat="1" applyFont="1" applyFill="1" applyAlignment="1">
      <alignment/>
    </xf>
    <xf numFmtId="3" fontId="6" fillId="24" borderId="10" xfId="0" applyNumberFormat="1" applyFont="1" applyFill="1" applyBorder="1" applyAlignment="1" applyProtection="1">
      <alignment horizontal="right"/>
      <protection/>
    </xf>
    <xf numFmtId="3" fontId="6" fillId="24" borderId="0" xfId="0" applyNumberFormat="1" applyFont="1" applyFill="1" applyBorder="1" applyAlignment="1" applyProtection="1">
      <alignment/>
      <protection/>
    </xf>
    <xf numFmtId="3" fontId="5" fillId="24" borderId="0" xfId="0" applyNumberFormat="1" applyFont="1" applyFill="1" applyBorder="1" applyAlignment="1" applyProtection="1">
      <alignment horizontal="left" wrapText="1"/>
      <protection/>
    </xf>
    <xf numFmtId="3" fontId="6" fillId="24" borderId="0" xfId="0" applyNumberFormat="1" applyFont="1" applyFill="1" applyBorder="1" applyAlignment="1" applyProtection="1">
      <alignment horizontal="center"/>
      <protection/>
    </xf>
    <xf numFmtId="3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Alignment="1">
      <alignment/>
    </xf>
    <xf numFmtId="3" fontId="5" fillId="24" borderId="0" xfId="55" applyNumberFormat="1" applyFont="1" applyFill="1" applyAlignment="1">
      <alignment horizontal="right"/>
      <protection/>
    </xf>
    <xf numFmtId="3" fontId="5" fillId="24" borderId="0" xfId="55" applyNumberFormat="1" applyFont="1" applyFill="1" applyAlignment="1">
      <alignment horizontal="left"/>
      <protection/>
    </xf>
    <xf numFmtId="3" fontId="5" fillId="24" borderId="0" xfId="0" applyNumberFormat="1" applyFont="1" applyFill="1" applyAlignment="1">
      <alignment horizontal="right"/>
    </xf>
    <xf numFmtId="3" fontId="5" fillId="24" borderId="0" xfId="0" applyNumberFormat="1" applyFont="1" applyFill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3" fontId="25" fillId="24" borderId="19" xfId="0" applyNumberFormat="1" applyFont="1" applyFill="1" applyBorder="1" applyAlignment="1">
      <alignment horizontal="center" vertical="center"/>
    </xf>
    <xf numFmtId="3" fontId="25" fillId="24" borderId="20" xfId="0" applyNumberFormat="1" applyFont="1" applyFill="1" applyBorder="1" applyAlignment="1" applyProtection="1">
      <alignment horizontal="center" vertical="center" wrapText="1"/>
      <protection/>
    </xf>
    <xf numFmtId="3" fontId="5" fillId="24" borderId="21" xfId="53" applyNumberFormat="1" applyFont="1" applyFill="1" applyBorder="1" applyAlignment="1">
      <alignment horizontal="center" vertical="center" wrapText="1"/>
      <protection/>
    </xf>
    <xf numFmtId="3" fontId="5" fillId="24" borderId="20" xfId="54" applyNumberFormat="1" applyFont="1" applyFill="1" applyBorder="1" applyAlignment="1">
      <alignment vertical="center" wrapText="1"/>
      <protection/>
    </xf>
    <xf numFmtId="3" fontId="5" fillId="24" borderId="22" xfId="54" applyNumberFormat="1" applyFont="1" applyFill="1" applyBorder="1" applyAlignment="1">
      <alignment vertical="center" wrapText="1"/>
      <protection/>
    </xf>
    <xf numFmtId="3" fontId="6" fillId="24" borderId="24" xfId="50" applyNumberFormat="1" applyFont="1" applyFill="1" applyBorder="1" applyAlignment="1" applyProtection="1">
      <alignment horizontal="center" vertical="center" wrapText="1"/>
      <protection/>
    </xf>
    <xf numFmtId="3" fontId="6" fillId="24" borderId="19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 horizontal="right"/>
    </xf>
    <xf numFmtId="3" fontId="6" fillId="24" borderId="26" xfId="0" applyNumberFormat="1" applyFont="1" applyFill="1" applyBorder="1" applyAlignment="1">
      <alignment wrapText="1"/>
    </xf>
    <xf numFmtId="3" fontId="6" fillId="24" borderId="17" xfId="0" applyNumberFormat="1" applyFont="1" applyFill="1" applyBorder="1" applyAlignment="1">
      <alignment/>
    </xf>
    <xf numFmtId="3" fontId="6" fillId="24" borderId="46" xfId="0" applyNumberFormat="1" applyFont="1" applyFill="1" applyBorder="1" applyAlignment="1">
      <alignment/>
    </xf>
    <xf numFmtId="3" fontId="6" fillId="24" borderId="39" xfId="0" applyNumberFormat="1" applyFont="1" applyFill="1" applyBorder="1" applyAlignment="1">
      <alignment/>
    </xf>
    <xf numFmtId="3" fontId="6" fillId="24" borderId="47" xfId="0" applyNumberFormat="1" applyFont="1" applyFill="1" applyBorder="1" applyAlignment="1">
      <alignment/>
    </xf>
    <xf numFmtId="49" fontId="6" fillId="24" borderId="25" xfId="0" applyNumberFormat="1" applyFont="1" applyFill="1" applyBorder="1" applyAlignment="1">
      <alignment horizontal="right"/>
    </xf>
    <xf numFmtId="3" fontId="6" fillId="24" borderId="38" xfId="0" applyNumberFormat="1" applyFont="1" applyFill="1" applyBorder="1" applyAlignment="1">
      <alignment/>
    </xf>
    <xf numFmtId="3" fontId="6" fillId="24" borderId="48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 horizontal="right"/>
    </xf>
    <xf numFmtId="49" fontId="6" fillId="24" borderId="28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 horizontal="left" wrapText="1"/>
    </xf>
    <xf numFmtId="3" fontId="5" fillId="24" borderId="28" xfId="0" applyNumberFormat="1" applyFont="1" applyFill="1" applyBorder="1" applyAlignment="1">
      <alignment horizontal="right" wrapText="1"/>
    </xf>
    <xf numFmtId="49" fontId="5" fillId="24" borderId="28" xfId="0" applyNumberFormat="1" applyFont="1" applyFill="1" applyBorder="1" applyAlignment="1">
      <alignment horizontal="right" wrapText="1"/>
    </xf>
    <xf numFmtId="3" fontId="6" fillId="24" borderId="32" xfId="0" applyNumberFormat="1" applyFont="1" applyFill="1" applyBorder="1" applyAlignment="1">
      <alignment horizontal="right"/>
    </xf>
    <xf numFmtId="3" fontId="6" fillId="24" borderId="13" xfId="0" applyNumberFormat="1" applyFont="1" applyFill="1" applyBorder="1" applyAlignment="1">
      <alignment wrapText="1"/>
    </xf>
    <xf numFmtId="3" fontId="6" fillId="24" borderId="13" xfId="0" applyNumberFormat="1" applyFont="1" applyFill="1" applyBorder="1" applyAlignment="1">
      <alignment/>
    </xf>
    <xf numFmtId="3" fontId="6" fillId="24" borderId="43" xfId="0" applyNumberFormat="1" applyFont="1" applyFill="1" applyBorder="1" applyAlignment="1">
      <alignment/>
    </xf>
    <xf numFmtId="3" fontId="6" fillId="24" borderId="49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 horizontal="right"/>
    </xf>
    <xf numFmtId="3" fontId="6" fillId="24" borderId="41" xfId="0" applyNumberFormat="1" applyFont="1" applyFill="1" applyBorder="1" applyAlignment="1">
      <alignment wrapText="1"/>
    </xf>
    <xf numFmtId="3" fontId="5" fillId="24" borderId="11" xfId="0" applyNumberFormat="1" applyFont="1" applyFill="1" applyBorder="1" applyAlignment="1">
      <alignment horizontal="right"/>
    </xf>
    <xf numFmtId="3" fontId="5" fillId="24" borderId="13" xfId="51" applyNumberFormat="1" applyFont="1" applyFill="1" applyBorder="1" applyAlignment="1">
      <alignment horizontal="left" wrapText="1"/>
      <protection/>
    </xf>
    <xf numFmtId="49" fontId="5" fillId="24" borderId="45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 horizontal="right"/>
    </xf>
    <xf numFmtId="3" fontId="6" fillId="24" borderId="41" xfId="57" applyNumberFormat="1" applyFont="1" applyFill="1" applyBorder="1" applyAlignment="1">
      <alignment horizontal="right"/>
      <protection/>
    </xf>
    <xf numFmtId="3" fontId="6" fillId="24" borderId="41" xfId="57" applyNumberFormat="1" applyFont="1" applyFill="1" applyBorder="1" applyAlignment="1">
      <alignment wrapText="1"/>
      <protection/>
    </xf>
    <xf numFmtId="3" fontId="6" fillId="24" borderId="18" xfId="0" applyNumberFormat="1" applyFont="1" applyFill="1" applyBorder="1" applyAlignment="1">
      <alignment/>
    </xf>
    <xf numFmtId="3" fontId="5" fillId="24" borderId="25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left"/>
    </xf>
    <xf numFmtId="49" fontId="5" fillId="24" borderId="25" xfId="57" applyNumberFormat="1" applyFont="1" applyFill="1" applyBorder="1" applyAlignment="1">
      <alignment horizontal="right"/>
      <protection/>
    </xf>
    <xf numFmtId="0" fontId="5" fillId="24" borderId="16" xfId="51" applyFont="1" applyFill="1" applyBorder="1" applyAlignment="1">
      <alignment horizontal="left" wrapText="1"/>
      <protection/>
    </xf>
    <xf numFmtId="0" fontId="5" fillId="24" borderId="13" xfId="57" applyFont="1" applyFill="1" applyBorder="1" applyAlignment="1">
      <alignment horizontal="left" wrapText="1"/>
      <protection/>
    </xf>
    <xf numFmtId="3" fontId="5" fillId="24" borderId="10" xfId="51" applyNumberFormat="1" applyFont="1" applyFill="1" applyBorder="1" applyAlignment="1">
      <alignment horizontal="left" wrapText="1"/>
      <protection/>
    </xf>
    <xf numFmtId="49" fontId="5" fillId="24" borderId="28" xfId="0" applyNumberFormat="1" applyFont="1" applyFill="1" applyBorder="1" applyAlignment="1">
      <alignment horizontal="right"/>
    </xf>
    <xf numFmtId="0" fontId="5" fillId="24" borderId="15" xfId="0" applyFont="1" applyFill="1" applyBorder="1" applyAlignment="1">
      <alignment/>
    </xf>
    <xf numFmtId="0" fontId="5" fillId="24" borderId="26" xfId="51" applyFont="1" applyFill="1" applyBorder="1" applyAlignment="1">
      <alignment horizontal="left" wrapText="1"/>
      <protection/>
    </xf>
    <xf numFmtId="3" fontId="5" fillId="24" borderId="26" xfId="0" applyNumberFormat="1" applyFont="1" applyFill="1" applyBorder="1" applyAlignment="1">
      <alignment horizontal="left" wrapText="1"/>
    </xf>
    <xf numFmtId="49" fontId="5" fillId="24" borderId="28" xfId="57" applyNumberFormat="1" applyFont="1" applyFill="1" applyBorder="1" applyAlignment="1">
      <alignment horizontal="right"/>
      <protection/>
    </xf>
    <xf numFmtId="0" fontId="5" fillId="24" borderId="13" xfId="0" applyFont="1" applyFill="1" applyBorder="1" applyAlignment="1">
      <alignment horizontal="left" wrapText="1"/>
    </xf>
    <xf numFmtId="0" fontId="25" fillId="24" borderId="26" xfId="51" applyFont="1" applyFill="1" applyBorder="1" applyAlignment="1">
      <alignment horizontal="left" wrapText="1"/>
      <protection/>
    </xf>
    <xf numFmtId="0" fontId="5" fillId="24" borderId="26" xfId="51" applyFont="1" applyFill="1" applyBorder="1" applyAlignment="1">
      <alignment wrapText="1"/>
      <protection/>
    </xf>
    <xf numFmtId="3" fontId="6" fillId="24" borderId="26" xfId="0" applyNumberFormat="1" applyFont="1" applyFill="1" applyBorder="1" applyAlignment="1">
      <alignment horizontal="left" wrapText="1"/>
    </xf>
    <xf numFmtId="3" fontId="6" fillId="24" borderId="28" xfId="57" applyNumberFormat="1" applyFont="1" applyFill="1" applyBorder="1" applyAlignment="1">
      <alignment horizontal="right"/>
      <protection/>
    </xf>
    <xf numFmtId="3" fontId="6" fillId="24" borderId="10" xfId="57" applyNumberFormat="1" applyFont="1" applyFill="1" applyBorder="1" applyAlignment="1">
      <alignment wrapText="1"/>
      <protection/>
    </xf>
    <xf numFmtId="3" fontId="5" fillId="24" borderId="41" xfId="57" applyNumberFormat="1" applyFont="1" applyFill="1" applyBorder="1" applyAlignment="1">
      <alignment wrapText="1"/>
      <protection/>
    </xf>
    <xf numFmtId="3" fontId="5" fillId="24" borderId="10" xfId="57" applyNumberFormat="1" applyFont="1" applyFill="1" applyBorder="1" applyAlignment="1">
      <alignment wrapText="1"/>
      <protection/>
    </xf>
    <xf numFmtId="49" fontId="5" fillId="24" borderId="40" xfId="57" applyNumberFormat="1" applyFont="1" applyFill="1" applyBorder="1" applyAlignment="1">
      <alignment horizontal="right"/>
      <protection/>
    </xf>
    <xf numFmtId="3" fontId="6" fillId="24" borderId="50" xfId="0" applyNumberFormat="1" applyFont="1" applyFill="1" applyBorder="1" applyAlignment="1">
      <alignment/>
    </xf>
    <xf numFmtId="3" fontId="6" fillId="24" borderId="20" xfId="0" applyNumberFormat="1" applyFont="1" applyFill="1" applyBorder="1" applyAlignment="1">
      <alignment horizontal="left" wrapText="1"/>
    </xf>
    <xf numFmtId="3" fontId="5" fillId="24" borderId="32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/>
    </xf>
    <xf numFmtId="3" fontId="5" fillId="24" borderId="26" xfId="51" applyNumberFormat="1" applyFont="1" applyFill="1" applyBorder="1" applyAlignment="1">
      <alignment horizontal="left" wrapText="1"/>
      <protection/>
    </xf>
    <xf numFmtId="3" fontId="5" fillId="24" borderId="40" xfId="0" applyNumberFormat="1" applyFont="1" applyFill="1" applyBorder="1" applyAlignment="1">
      <alignment horizontal="right"/>
    </xf>
    <xf numFmtId="3" fontId="6" fillId="24" borderId="34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left" wrapText="1"/>
    </xf>
    <xf numFmtId="49" fontId="5" fillId="24" borderId="10" xfId="57" applyNumberFormat="1" applyFont="1" applyFill="1" applyBorder="1" applyAlignment="1">
      <alignment horizontal="right"/>
      <protection/>
    </xf>
    <xf numFmtId="0" fontId="5" fillId="24" borderId="10" xfId="57" applyFont="1" applyFill="1" applyBorder="1" applyAlignment="1">
      <alignment horizontal="left" wrapText="1"/>
      <protection/>
    </xf>
    <xf numFmtId="49" fontId="5" fillId="24" borderId="45" xfId="57" applyNumberFormat="1" applyFont="1" applyFill="1" applyBorder="1" applyAlignment="1">
      <alignment horizontal="right"/>
      <protection/>
    </xf>
    <xf numFmtId="0" fontId="5" fillId="24" borderId="41" xfId="57" applyFont="1" applyFill="1" applyBorder="1" applyAlignment="1">
      <alignment horizontal="left" wrapText="1"/>
      <protection/>
    </xf>
    <xf numFmtId="0" fontId="0" fillId="24" borderId="10" xfId="0" applyFont="1" applyFill="1" applyBorder="1" applyAlignment="1">
      <alignment wrapText="1"/>
    </xf>
    <xf numFmtId="0" fontId="5" fillId="24" borderId="10" xfId="57" applyFont="1" applyFill="1" applyBorder="1" applyAlignment="1">
      <alignment wrapText="1"/>
      <protection/>
    </xf>
    <xf numFmtId="0" fontId="5" fillId="24" borderId="41" xfId="57" applyFont="1" applyFill="1" applyBorder="1" applyAlignment="1">
      <alignment wrapText="1"/>
      <protection/>
    </xf>
    <xf numFmtId="3" fontId="2" fillId="24" borderId="10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 horizontal="left" wrapText="1"/>
    </xf>
    <xf numFmtId="0" fontId="5" fillId="24" borderId="10" xfId="51" applyFont="1" applyFill="1" applyBorder="1" applyAlignment="1">
      <alignment horizontal="left" wrapText="1"/>
      <protection/>
    </xf>
    <xf numFmtId="0" fontId="5" fillId="24" borderId="13" xfId="51" applyFont="1" applyFill="1" applyBorder="1" applyAlignment="1">
      <alignment horizontal="left" wrapText="1"/>
      <protection/>
    </xf>
    <xf numFmtId="3" fontId="6" fillId="24" borderId="13" xfId="0" applyNumberFormat="1" applyFont="1" applyFill="1" applyBorder="1" applyAlignment="1">
      <alignment horizontal="left" wrapText="1"/>
    </xf>
    <xf numFmtId="49" fontId="6" fillId="24" borderId="28" xfId="57" applyNumberFormat="1" applyFont="1" applyFill="1" applyBorder="1" applyAlignment="1">
      <alignment horizontal="right"/>
      <protection/>
    </xf>
    <xf numFmtId="49" fontId="6" fillId="24" borderId="32" xfId="57" applyNumberFormat="1" applyFont="1" applyFill="1" applyBorder="1" applyAlignment="1">
      <alignment horizontal="right"/>
      <protection/>
    </xf>
    <xf numFmtId="3" fontId="6" fillId="24" borderId="41" xfId="0" applyNumberFormat="1" applyFont="1" applyFill="1" applyBorder="1" applyAlignment="1">
      <alignment/>
    </xf>
    <xf numFmtId="49" fontId="6" fillId="24" borderId="10" xfId="57" applyNumberFormat="1" applyFont="1" applyFill="1" applyBorder="1" applyAlignment="1">
      <alignment horizontal="right"/>
      <protection/>
    </xf>
    <xf numFmtId="3" fontId="6" fillId="24" borderId="30" xfId="0" applyNumberFormat="1" applyFont="1" applyFill="1" applyBorder="1" applyAlignment="1">
      <alignment wrapText="1"/>
    </xf>
    <xf numFmtId="3" fontId="5" fillId="24" borderId="30" xfId="0" applyNumberFormat="1" applyFont="1" applyFill="1" applyBorder="1" applyAlignment="1">
      <alignment wrapText="1"/>
    </xf>
    <xf numFmtId="49" fontId="5" fillId="24" borderId="51" xfId="57" applyNumberFormat="1" applyFont="1" applyFill="1" applyBorder="1" applyAlignment="1">
      <alignment horizontal="right"/>
      <protection/>
    </xf>
    <xf numFmtId="3" fontId="5" fillId="24" borderId="0" xfId="0" applyNumberFormat="1" applyFont="1" applyFill="1" applyBorder="1" applyAlignment="1">
      <alignment wrapText="1"/>
    </xf>
    <xf numFmtId="3" fontId="6" fillId="24" borderId="52" xfId="0" applyNumberFormat="1" applyFont="1" applyFill="1" applyBorder="1" applyAlignment="1">
      <alignment horizontal="left"/>
    </xf>
    <xf numFmtId="3" fontId="5" fillId="24" borderId="10" xfId="52" applyNumberFormat="1" applyFont="1" applyFill="1" applyBorder="1" applyAlignment="1">
      <alignment horizontal="left" wrapText="1"/>
      <protection/>
    </xf>
    <xf numFmtId="3" fontId="2" fillId="24" borderId="15" xfId="0" applyNumberFormat="1" applyFont="1" applyFill="1" applyBorder="1" applyAlignment="1">
      <alignment/>
    </xf>
    <xf numFmtId="49" fontId="5" fillId="24" borderId="11" xfId="0" applyNumberFormat="1" applyFont="1" applyFill="1" applyBorder="1" applyAlignment="1">
      <alignment horizontal="right"/>
    </xf>
    <xf numFmtId="3" fontId="6" fillId="24" borderId="31" xfId="0" applyNumberFormat="1" applyFont="1" applyFill="1" applyBorder="1" applyAlignment="1">
      <alignment/>
    </xf>
    <xf numFmtId="3" fontId="6" fillId="24" borderId="53" xfId="0" applyNumberFormat="1" applyFont="1" applyFill="1" applyBorder="1" applyAlignment="1">
      <alignment horizontal="right"/>
    </xf>
    <xf numFmtId="3" fontId="6" fillId="24" borderId="54" xfId="0" applyNumberFormat="1" applyFont="1" applyFill="1" applyBorder="1" applyAlignment="1">
      <alignment wrapText="1"/>
    </xf>
    <xf numFmtId="3" fontId="6" fillId="24" borderId="55" xfId="0" applyNumberFormat="1" applyFont="1" applyFill="1" applyBorder="1" applyAlignment="1">
      <alignment/>
    </xf>
    <xf numFmtId="3" fontId="6" fillId="24" borderId="56" xfId="0" applyNumberFormat="1" applyFont="1" applyFill="1" applyBorder="1" applyAlignment="1">
      <alignment/>
    </xf>
    <xf numFmtId="3" fontId="5" fillId="24" borderId="57" xfId="0" applyNumberFormat="1" applyFont="1" applyFill="1" applyBorder="1" applyAlignment="1">
      <alignment/>
    </xf>
    <xf numFmtId="3" fontId="5" fillId="24" borderId="37" xfId="0" applyNumberFormat="1" applyFont="1" applyFill="1" applyBorder="1" applyAlignment="1">
      <alignment/>
    </xf>
    <xf numFmtId="3" fontId="5" fillId="24" borderId="25" xfId="57" applyNumberFormat="1" applyFont="1" applyFill="1" applyBorder="1" applyAlignment="1">
      <alignment horizontal="right"/>
      <protection/>
    </xf>
    <xf numFmtId="3" fontId="25" fillId="24" borderId="10" xfId="51" applyNumberFormat="1" applyFont="1" applyFill="1" applyBorder="1" applyAlignment="1">
      <alignment horizontal="left" wrapText="1"/>
      <protection/>
    </xf>
    <xf numFmtId="3" fontId="25" fillId="24" borderId="41" xfId="51" applyNumberFormat="1" applyFont="1" applyFill="1" applyBorder="1" applyAlignment="1">
      <alignment horizontal="left" wrapText="1"/>
      <protection/>
    </xf>
    <xf numFmtId="3" fontId="5" fillId="24" borderId="0" xfId="0" applyNumberFormat="1" applyFont="1" applyFill="1" applyAlignment="1">
      <alignment horizontal="center" wrapText="1"/>
    </xf>
    <xf numFmtId="3" fontId="25" fillId="24" borderId="13" xfId="51" applyNumberFormat="1" applyFont="1" applyFill="1" applyBorder="1" applyAlignment="1">
      <alignment horizontal="left" wrapText="1"/>
      <protection/>
    </xf>
    <xf numFmtId="3" fontId="5" fillId="24" borderId="10" xfId="0" applyNumberFormat="1" applyFont="1" applyFill="1" applyBorder="1" applyAlignment="1">
      <alignment horizontal="left" wrapText="1"/>
    </xf>
    <xf numFmtId="3" fontId="5" fillId="24" borderId="10" xfId="57" applyNumberFormat="1" applyFont="1" applyFill="1" applyBorder="1" applyAlignment="1">
      <alignment horizontal="right"/>
      <protection/>
    </xf>
    <xf numFmtId="0" fontId="5" fillId="24" borderId="10" xfId="52" applyFont="1" applyFill="1" applyBorder="1" applyAlignment="1">
      <alignment horizontal="left" vertical="center" wrapText="1"/>
      <protection/>
    </xf>
    <xf numFmtId="0" fontId="5" fillId="24" borderId="10" xfId="52" applyFont="1" applyFill="1" applyBorder="1" applyAlignment="1">
      <alignment horizontal="left" wrapText="1"/>
      <protection/>
    </xf>
    <xf numFmtId="0" fontId="5" fillId="24" borderId="15" xfId="0" applyFont="1" applyFill="1" applyBorder="1" applyAlignment="1">
      <alignment horizontal="left" wrapText="1"/>
    </xf>
    <xf numFmtId="49" fontId="5" fillId="24" borderId="11" xfId="57" applyNumberFormat="1" applyFont="1" applyFill="1" applyBorder="1" applyAlignment="1">
      <alignment horizontal="right"/>
      <protection/>
    </xf>
    <xf numFmtId="3" fontId="6" fillId="24" borderId="58" xfId="0" applyNumberFormat="1" applyFont="1" applyFill="1" applyBorder="1" applyAlignment="1">
      <alignment/>
    </xf>
    <xf numFmtId="49" fontId="6" fillId="24" borderId="42" xfId="0" applyNumberFormat="1" applyFont="1" applyFill="1" applyBorder="1" applyAlignment="1">
      <alignment horizontal="right"/>
    </xf>
    <xf numFmtId="3" fontId="6" fillId="24" borderId="14" xfId="0" applyNumberFormat="1" applyFont="1" applyFill="1" applyBorder="1" applyAlignment="1">
      <alignment wrapText="1"/>
    </xf>
    <xf numFmtId="0" fontId="25" fillId="24" borderId="41" xfId="51" applyFont="1" applyFill="1" applyBorder="1" applyAlignment="1">
      <alignment horizontal="left" wrapText="1"/>
      <protection/>
    </xf>
    <xf numFmtId="0" fontId="5" fillId="24" borderId="41" xfId="51" applyFont="1" applyFill="1" applyBorder="1" applyAlignment="1">
      <alignment horizontal="left" wrapText="1"/>
      <protection/>
    </xf>
    <xf numFmtId="0" fontId="6" fillId="24" borderId="26" xfId="51" applyFont="1" applyFill="1" applyBorder="1" applyAlignment="1">
      <alignment horizontal="left" wrapText="1"/>
      <protection/>
    </xf>
    <xf numFmtId="3" fontId="5" fillId="24" borderId="55" xfId="0" applyNumberFormat="1" applyFont="1" applyFill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 horizontal="left" wrapText="1"/>
    </xf>
    <xf numFmtId="3" fontId="5" fillId="24" borderId="0" xfId="0" applyNumberFormat="1" applyFont="1" applyFill="1" applyBorder="1" applyAlignment="1" applyProtection="1">
      <alignment/>
      <protection/>
    </xf>
    <xf numFmtId="3" fontId="5" fillId="24" borderId="0" xfId="50" applyNumberFormat="1" applyFont="1" applyFill="1" applyBorder="1" applyAlignment="1">
      <alignment horizontal="left" wrapText="1"/>
      <protection/>
    </xf>
    <xf numFmtId="3" fontId="2" fillId="24" borderId="0" xfId="0" applyNumberFormat="1" applyFont="1" applyFill="1" applyBorder="1" applyAlignment="1">
      <alignment/>
    </xf>
    <xf numFmtId="3" fontId="6" fillId="24" borderId="42" xfId="0" applyNumberFormat="1" applyFont="1" applyFill="1" applyBorder="1" applyAlignment="1">
      <alignment horizontal="left"/>
    </xf>
    <xf numFmtId="3" fontId="5" fillId="24" borderId="14" xfId="0" applyNumberFormat="1" applyFont="1" applyFill="1" applyBorder="1" applyAlignment="1">
      <alignment/>
    </xf>
    <xf numFmtId="3" fontId="2" fillId="24" borderId="46" xfId="0" applyNumberFormat="1" applyFont="1" applyFill="1" applyBorder="1" applyAlignment="1">
      <alignment/>
    </xf>
    <xf numFmtId="3" fontId="5" fillId="24" borderId="59" xfId="0" applyNumberFormat="1" applyFont="1" applyFill="1" applyBorder="1" applyAlignment="1">
      <alignment/>
    </xf>
    <xf numFmtId="3" fontId="5" fillId="24" borderId="56" xfId="0" applyNumberFormat="1" applyFont="1" applyFill="1" applyBorder="1" applyAlignment="1">
      <alignment/>
    </xf>
    <xf numFmtId="3" fontId="5" fillId="24" borderId="60" xfId="0" applyNumberFormat="1" applyFont="1" applyFill="1" applyBorder="1" applyAlignment="1">
      <alignment/>
    </xf>
    <xf numFmtId="3" fontId="6" fillId="24" borderId="61" xfId="0" applyNumberFormat="1" applyFont="1" applyFill="1" applyBorder="1" applyAlignment="1">
      <alignment/>
    </xf>
    <xf numFmtId="3" fontId="5" fillId="24" borderId="26" xfId="0" applyNumberFormat="1" applyFont="1" applyFill="1" applyBorder="1" applyAlignment="1">
      <alignment/>
    </xf>
    <xf numFmtId="3" fontId="5" fillId="24" borderId="58" xfId="0" applyNumberFormat="1" applyFont="1" applyFill="1" applyBorder="1" applyAlignment="1">
      <alignment/>
    </xf>
    <xf numFmtId="3" fontId="6" fillId="24" borderId="22" xfId="0" applyNumberFormat="1" applyFont="1" applyFill="1" applyBorder="1" applyAlignment="1">
      <alignment horizontal="right"/>
    </xf>
    <xf numFmtId="3" fontId="6" fillId="24" borderId="52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 wrapText="1"/>
    </xf>
    <xf numFmtId="0" fontId="5" fillId="24" borderId="0" xfId="0" applyFont="1" applyFill="1" applyAlignment="1">
      <alignment wrapText="1"/>
    </xf>
    <xf numFmtId="0" fontId="25" fillId="24" borderId="10" xfId="57" applyFont="1" applyFill="1" applyBorder="1" applyAlignment="1">
      <alignment horizontal="left" wrapText="1"/>
      <protection/>
    </xf>
    <xf numFmtId="0" fontId="0" fillId="0" borderId="0" xfId="57">
      <alignment/>
      <protection/>
    </xf>
    <xf numFmtId="3" fontId="5" fillId="0" borderId="25" xfId="57" applyNumberFormat="1" applyFont="1" applyBorder="1">
      <alignment/>
      <protection/>
    </xf>
    <xf numFmtId="3" fontId="5" fillId="0" borderId="26" xfId="57" applyNumberFormat="1" applyFont="1" applyBorder="1">
      <alignment/>
      <protection/>
    </xf>
    <xf numFmtId="3" fontId="5" fillId="0" borderId="28" xfId="57" applyNumberFormat="1" applyFont="1" applyBorder="1">
      <alignment/>
      <protection/>
    </xf>
    <xf numFmtId="3" fontId="5" fillId="0" borderId="10" xfId="57" applyNumberFormat="1" applyFont="1" applyBorder="1">
      <alignment/>
      <protection/>
    </xf>
    <xf numFmtId="0" fontId="1" fillId="0" borderId="0" xfId="57" applyFont="1">
      <alignment/>
      <protection/>
    </xf>
    <xf numFmtId="3" fontId="5" fillId="24" borderId="10" xfId="57" applyNumberFormat="1" applyFont="1" applyFill="1" applyBorder="1">
      <alignment/>
      <protection/>
    </xf>
    <xf numFmtId="3" fontId="5" fillId="25" borderId="28" xfId="57" applyNumberFormat="1" applyFont="1" applyFill="1" applyBorder="1">
      <alignment/>
      <protection/>
    </xf>
    <xf numFmtId="3" fontId="5" fillId="0" borderId="0" xfId="57" applyNumberFormat="1" applyFont="1">
      <alignment/>
      <protection/>
    </xf>
    <xf numFmtId="3" fontId="32" fillId="0" borderId="0" xfId="57" applyNumberFormat="1" applyFont="1">
      <alignment/>
      <protection/>
    </xf>
    <xf numFmtId="3" fontId="6" fillId="0" borderId="0" xfId="57" applyNumberFormat="1" applyFont="1">
      <alignment/>
      <protection/>
    </xf>
    <xf numFmtId="0" fontId="0" fillId="0" borderId="0" xfId="57" applyAlignment="1">
      <alignment horizontal="center"/>
      <protection/>
    </xf>
    <xf numFmtId="192" fontId="0" fillId="0" borderId="0" xfId="57" applyNumberFormat="1" applyFont="1">
      <alignment/>
      <protection/>
    </xf>
    <xf numFmtId="0" fontId="0" fillId="0" borderId="0" xfId="57" applyFont="1" applyAlignment="1">
      <alignment wrapText="1"/>
      <protection/>
    </xf>
    <xf numFmtId="3" fontId="5" fillId="24" borderId="38" xfId="57" applyNumberFormat="1" applyFont="1" applyFill="1" applyBorder="1">
      <alignment/>
      <protection/>
    </xf>
    <xf numFmtId="3" fontId="5" fillId="24" borderId="11" xfId="57" applyNumberFormat="1" applyFont="1" applyFill="1" applyBorder="1">
      <alignment/>
      <protection/>
    </xf>
    <xf numFmtId="0" fontId="25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19" xfId="57" applyFont="1" applyBorder="1">
      <alignment/>
      <protection/>
    </xf>
    <xf numFmtId="0" fontId="2" fillId="0" borderId="20" xfId="57" applyFont="1" applyBorder="1" applyAlignment="1">
      <alignment horizontal="center" wrapText="1"/>
      <protection/>
    </xf>
    <xf numFmtId="0" fontId="30" fillId="0" borderId="20" xfId="57" applyFont="1" applyBorder="1" applyAlignment="1">
      <alignment horizontal="center" wrapText="1"/>
      <protection/>
    </xf>
    <xf numFmtId="0" fontId="2" fillId="24" borderId="20" xfId="57" applyFont="1" applyFill="1" applyBorder="1" applyAlignment="1">
      <alignment horizontal="center" wrapText="1"/>
      <protection/>
    </xf>
    <xf numFmtId="0" fontId="2" fillId="0" borderId="20" xfId="52" applyFont="1" applyBorder="1" applyAlignment="1">
      <alignment horizontal="left" wrapText="1"/>
      <protection/>
    </xf>
    <xf numFmtId="9" fontId="2" fillId="0" borderId="20" xfId="57" applyNumberFormat="1" applyFont="1" applyBorder="1" applyAlignment="1">
      <alignment horizontal="center" wrapText="1"/>
      <protection/>
    </xf>
    <xf numFmtId="0" fontId="29" fillId="0" borderId="20" xfId="57" applyFont="1" applyBorder="1" applyAlignment="1">
      <alignment horizontal="center" wrapText="1"/>
      <protection/>
    </xf>
    <xf numFmtId="0" fontId="29" fillId="0" borderId="20" xfId="57" applyFont="1" applyBorder="1" applyAlignment="1">
      <alignment horizontal="left" wrapText="1"/>
      <protection/>
    </xf>
    <xf numFmtId="0" fontId="2" fillId="0" borderId="20" xfId="57" applyFont="1" applyBorder="1" applyAlignment="1">
      <alignment wrapText="1"/>
      <protection/>
    </xf>
    <xf numFmtId="0" fontId="2" fillId="0" borderId="23" xfId="57" applyFont="1" applyBorder="1" applyAlignment="1">
      <alignment wrapText="1"/>
      <protection/>
    </xf>
    <xf numFmtId="0" fontId="5" fillId="0" borderId="26" xfId="57" applyFont="1" applyBorder="1">
      <alignment/>
      <protection/>
    </xf>
    <xf numFmtId="3" fontId="5" fillId="24" borderId="26" xfId="57" applyNumberFormat="1" applyFont="1" applyFill="1" applyBorder="1">
      <alignment/>
      <protection/>
    </xf>
    <xf numFmtId="3" fontId="6" fillId="0" borderId="26" xfId="57" applyNumberFormat="1" applyFont="1" applyBorder="1">
      <alignment/>
      <protection/>
    </xf>
    <xf numFmtId="3" fontId="6" fillId="24" borderId="26" xfId="57" applyNumberFormat="1" applyFont="1" applyFill="1" applyBorder="1">
      <alignment/>
      <protection/>
    </xf>
    <xf numFmtId="3" fontId="6" fillId="0" borderId="10" xfId="57" applyNumberFormat="1" applyFont="1" applyBorder="1">
      <alignment/>
      <protection/>
    </xf>
    <xf numFmtId="3" fontId="6" fillId="24" borderId="10" xfId="57" applyNumberFormat="1" applyFont="1" applyFill="1" applyBorder="1">
      <alignment/>
      <protection/>
    </xf>
    <xf numFmtId="0" fontId="6" fillId="0" borderId="10" xfId="57" applyFont="1" applyBorder="1">
      <alignment/>
      <protection/>
    </xf>
    <xf numFmtId="3" fontId="5" fillId="24" borderId="28" xfId="57" applyNumberFormat="1" applyFont="1" applyFill="1" applyBorder="1">
      <alignment/>
      <protection/>
    </xf>
    <xf numFmtId="0" fontId="5" fillId="24" borderId="10" xfId="57" applyFont="1" applyFill="1" applyBorder="1">
      <alignment/>
      <protection/>
    </xf>
    <xf numFmtId="0" fontId="5" fillId="24" borderId="26" xfId="57" applyFont="1" applyFill="1" applyBorder="1">
      <alignment/>
      <protection/>
    </xf>
    <xf numFmtId="3" fontId="5" fillId="0" borderId="13" xfId="57" applyNumberFormat="1" applyFont="1" applyBorder="1">
      <alignment/>
      <protection/>
    </xf>
    <xf numFmtId="3" fontId="5" fillId="24" borderId="13" xfId="57" applyNumberFormat="1" applyFont="1" applyFill="1" applyBorder="1">
      <alignment/>
      <protection/>
    </xf>
    <xf numFmtId="3" fontId="6" fillId="0" borderId="13" xfId="57" applyNumberFormat="1" applyFont="1" applyBorder="1">
      <alignment/>
      <protection/>
    </xf>
    <xf numFmtId="3" fontId="6" fillId="24" borderId="13" xfId="57" applyNumberFormat="1" applyFont="1" applyFill="1" applyBorder="1">
      <alignment/>
      <protection/>
    </xf>
    <xf numFmtId="3" fontId="5" fillId="0" borderId="10" xfId="57" applyNumberFormat="1" applyFont="1" applyBorder="1" applyAlignment="1">
      <alignment horizontal="left" wrapText="1"/>
      <protection/>
    </xf>
    <xf numFmtId="0" fontId="6" fillId="0" borderId="19" xfId="57" applyFont="1" applyBorder="1">
      <alignment/>
      <protection/>
    </xf>
    <xf numFmtId="3" fontId="6" fillId="0" borderId="21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0" fontId="2" fillId="0" borderId="22" xfId="57" applyFont="1" applyBorder="1" applyAlignment="1">
      <alignment wrapText="1"/>
      <protection/>
    </xf>
    <xf numFmtId="3" fontId="6" fillId="0" borderId="17" xfId="57" applyNumberFormat="1" applyFont="1" applyBorder="1">
      <alignment/>
      <protection/>
    </xf>
    <xf numFmtId="3" fontId="6" fillId="0" borderId="31" xfId="57" applyNumberFormat="1" applyFont="1" applyBorder="1">
      <alignment/>
      <protection/>
    </xf>
    <xf numFmtId="0" fontId="6" fillId="0" borderId="17" xfId="57" applyFont="1" applyBorder="1">
      <alignment/>
      <protection/>
    </xf>
    <xf numFmtId="3" fontId="6" fillId="24" borderId="17" xfId="57" applyNumberFormat="1" applyFont="1" applyFill="1" applyBorder="1">
      <alignment/>
      <protection/>
    </xf>
    <xf numFmtId="3" fontId="6" fillId="0" borderId="15" xfId="57" applyNumberFormat="1" applyFont="1" applyBorder="1">
      <alignment/>
      <protection/>
    </xf>
    <xf numFmtId="3" fontId="6" fillId="0" borderId="41" xfId="57" applyNumberFormat="1" applyFont="1" applyBorder="1">
      <alignment/>
      <protection/>
    </xf>
    <xf numFmtId="3" fontId="6" fillId="0" borderId="18" xfId="57" applyNumberFormat="1" applyFont="1" applyBorder="1">
      <alignment/>
      <protection/>
    </xf>
    <xf numFmtId="0" fontId="28" fillId="24" borderId="0" xfId="0" applyFont="1" applyFill="1" applyAlignment="1">
      <alignment horizontal="center"/>
    </xf>
    <xf numFmtId="3" fontId="28" fillId="24" borderId="62" xfId="0" applyNumberFormat="1" applyFont="1" applyFill="1" applyBorder="1" applyAlignment="1">
      <alignment horizontal="center" wrapText="1"/>
    </xf>
    <xf numFmtId="0" fontId="0" fillId="0" borderId="0" xfId="57" applyFont="1" applyAlignment="1">
      <alignment horizontal="left" wrapText="1"/>
      <protection/>
    </xf>
  </cellXfs>
  <cellStyles count="5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Sheet1" xfId="53"/>
    <cellStyle name="Normal_Sheet1_Pielikumi oktobra korekcijam 2" xfId="54"/>
    <cellStyle name="Normal_Specbudz.kopsavilkums 2006.g un korekc. 2" xfId="55"/>
    <cellStyle name="Nosaukums" xfId="56"/>
    <cellStyle name="Parasts 2" xfId="57"/>
    <cellStyle name="Parasts 2 2" xfId="58"/>
    <cellStyle name="Parasts 2_2016.g. Ieņēmumu un izdevumu plāns" xfId="59"/>
    <cellStyle name="Paskaidrojošs teksts" xfId="60"/>
    <cellStyle name="Pārbaudes šūna" xfId="61"/>
    <cellStyle name="Piezīme" xfId="62"/>
    <cellStyle name="Percent" xfId="63"/>
    <cellStyle name="Saistīta šūna" xfId="64"/>
    <cellStyle name="Slikts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3" sqref="T3"/>
    </sheetView>
  </sheetViews>
  <sheetFormatPr defaultColWidth="9.140625" defaultRowHeight="12.75"/>
  <cols>
    <col min="1" max="1" width="13.28125" style="19" customWidth="1"/>
    <col min="2" max="2" width="41.00390625" style="20" customWidth="1"/>
    <col min="3" max="3" width="12.7109375" style="19" customWidth="1"/>
    <col min="4" max="4" width="13.8515625" style="21" customWidth="1"/>
    <col min="5" max="6" width="10.00390625" style="19" customWidth="1"/>
    <col min="7" max="7" width="9.8515625" style="19" customWidth="1"/>
    <col min="8" max="8" width="10.00390625" style="19" customWidth="1"/>
    <col min="9" max="9" width="9.00390625" style="19" customWidth="1"/>
    <col min="10" max="10" width="9.140625" style="19" customWidth="1"/>
    <col min="11" max="11" width="9.7109375" style="19" customWidth="1"/>
    <col min="12" max="12" width="8.8515625" style="19" customWidth="1"/>
    <col min="13" max="13" width="9.7109375" style="19" customWidth="1"/>
    <col min="14" max="14" width="8.7109375" style="19" customWidth="1"/>
    <col min="15" max="15" width="9.57421875" style="19" customWidth="1"/>
    <col min="16" max="16" width="9.7109375" style="19" customWidth="1"/>
    <col min="17" max="17" width="10.00390625" style="19" customWidth="1"/>
    <col min="18" max="18" width="10.140625" style="19" customWidth="1"/>
    <col min="19" max="19" width="10.28125" style="19" customWidth="1"/>
    <col min="20" max="20" width="13.00390625" style="24" customWidth="1"/>
    <col min="21" max="21" width="11.28125" style="19" customWidth="1"/>
    <col min="22" max="16384" width="9.140625" style="19" customWidth="1"/>
  </cols>
  <sheetData>
    <row r="1" spans="5:20" ht="15">
      <c r="E1" s="22" t="s">
        <v>673</v>
      </c>
      <c r="F1" s="22"/>
      <c r="G1" s="22"/>
      <c r="S1" s="23"/>
      <c r="T1" s="23" t="s">
        <v>11</v>
      </c>
    </row>
    <row r="2" spans="1:20" ht="15">
      <c r="A2" s="25"/>
      <c r="E2" s="25"/>
      <c r="F2" s="25"/>
      <c r="G2" s="25"/>
      <c r="S2" s="23"/>
      <c r="T2" s="23" t="s">
        <v>391</v>
      </c>
    </row>
    <row r="3" spans="1:20" ht="15">
      <c r="A3" s="25"/>
      <c r="E3" s="25"/>
      <c r="F3" s="25"/>
      <c r="G3" s="25"/>
      <c r="S3" s="23"/>
      <c r="T3" s="23" t="s">
        <v>719</v>
      </c>
    </row>
    <row r="5" spans="1:4" ht="20.25">
      <c r="A5" s="305" t="s">
        <v>478</v>
      </c>
      <c r="B5" s="305"/>
      <c r="C5" s="305"/>
      <c r="D5" s="305"/>
    </row>
    <row r="6" spans="1:17" ht="15.75" thickBot="1">
      <c r="A6" s="25"/>
      <c r="B6" s="26"/>
      <c r="C6" s="25"/>
      <c r="N6" s="27"/>
      <c r="O6" s="27"/>
      <c r="P6" s="27"/>
      <c r="Q6" s="27"/>
    </row>
    <row r="7" spans="1:21" ht="135.75" thickBot="1">
      <c r="A7" s="28" t="s">
        <v>10</v>
      </c>
      <c r="B7" s="29" t="s">
        <v>127</v>
      </c>
      <c r="C7" s="30" t="s">
        <v>479</v>
      </c>
      <c r="D7" s="31" t="s">
        <v>480</v>
      </c>
      <c r="E7" s="32" t="s">
        <v>680</v>
      </c>
      <c r="F7" s="32" t="s">
        <v>681</v>
      </c>
      <c r="G7" s="32" t="s">
        <v>481</v>
      </c>
      <c r="H7" s="33" t="s">
        <v>482</v>
      </c>
      <c r="I7" s="33" t="s">
        <v>483</v>
      </c>
      <c r="J7" s="33" t="s">
        <v>484</v>
      </c>
      <c r="K7" s="33" t="s">
        <v>485</v>
      </c>
      <c r="L7" s="33" t="s">
        <v>486</v>
      </c>
      <c r="M7" s="33" t="s">
        <v>487</v>
      </c>
      <c r="N7" s="33" t="s">
        <v>488</v>
      </c>
      <c r="O7" s="34" t="s">
        <v>489</v>
      </c>
      <c r="P7" s="34" t="s">
        <v>660</v>
      </c>
      <c r="Q7" s="34" t="s">
        <v>661</v>
      </c>
      <c r="R7" s="33" t="s">
        <v>614</v>
      </c>
      <c r="S7" s="35" t="s">
        <v>639</v>
      </c>
      <c r="T7" s="36" t="s">
        <v>490</v>
      </c>
      <c r="U7" s="37"/>
    </row>
    <row r="8" spans="1:21" ht="15.75" thickBot="1">
      <c r="A8" s="38"/>
      <c r="B8" s="39" t="s">
        <v>22</v>
      </c>
      <c r="C8" s="40">
        <f>C9+C12+C17+C18</f>
        <v>33461505</v>
      </c>
      <c r="D8" s="40">
        <f aca="true" t="shared" si="0" ref="D8:N8">D9+D12+D18</f>
        <v>0</v>
      </c>
      <c r="E8" s="40">
        <f t="shared" si="0"/>
        <v>0</v>
      </c>
      <c r="F8" s="40">
        <f>F9+F12+F18</f>
        <v>0</v>
      </c>
      <c r="G8" s="41">
        <f t="shared" si="0"/>
        <v>0</v>
      </c>
      <c r="H8" s="40">
        <f>H9+H12+H18</f>
        <v>109850</v>
      </c>
      <c r="I8" s="40">
        <f t="shared" si="0"/>
        <v>50140</v>
      </c>
      <c r="J8" s="40">
        <f t="shared" si="0"/>
        <v>45000</v>
      </c>
      <c r="K8" s="40">
        <f t="shared" si="0"/>
        <v>104008</v>
      </c>
      <c r="L8" s="40">
        <f t="shared" si="0"/>
        <v>57000</v>
      </c>
      <c r="M8" s="40">
        <f t="shared" si="0"/>
        <v>50614</v>
      </c>
      <c r="N8" s="40">
        <f t="shared" si="0"/>
        <v>50480</v>
      </c>
      <c r="O8" s="40">
        <f>O9+O12+O18</f>
        <v>74000</v>
      </c>
      <c r="P8" s="40">
        <f>P9+P12+P18</f>
        <v>2069692</v>
      </c>
      <c r="Q8" s="40">
        <f>Q9+Q12+Q17+Q18</f>
        <v>3262074</v>
      </c>
      <c r="R8" s="41">
        <f>R9+R12+R18</f>
        <v>5178451</v>
      </c>
      <c r="S8" s="41">
        <f>S9+S12+S18</f>
        <v>0</v>
      </c>
      <c r="T8" s="42">
        <f aca="true" t="shared" si="1" ref="T8:T33">SUM(C8:S8)</f>
        <v>44512814</v>
      </c>
      <c r="U8" s="43"/>
    </row>
    <row r="9" spans="1:21" ht="15">
      <c r="A9" s="44" t="s">
        <v>23</v>
      </c>
      <c r="B9" s="45" t="s">
        <v>128</v>
      </c>
      <c r="C9" s="46">
        <f aca="true" t="shared" si="2" ref="C9:S9">SUM(C10:C11)</f>
        <v>32037722</v>
      </c>
      <c r="D9" s="46">
        <f t="shared" si="2"/>
        <v>0</v>
      </c>
      <c r="E9" s="46">
        <f t="shared" si="2"/>
        <v>0</v>
      </c>
      <c r="F9" s="46">
        <f>SUM(F10:F11)</f>
        <v>0</v>
      </c>
      <c r="G9" s="11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>SUM(O10:O11)</f>
        <v>0</v>
      </c>
      <c r="P9" s="46">
        <f>SUM(P10:P11)</f>
        <v>1665360</v>
      </c>
      <c r="Q9" s="46">
        <f>SUM(Q10:Q11)</f>
        <v>2711453</v>
      </c>
      <c r="R9" s="11">
        <f t="shared" si="2"/>
        <v>4516810</v>
      </c>
      <c r="S9" s="11">
        <f t="shared" si="2"/>
        <v>0</v>
      </c>
      <c r="T9" s="47">
        <f t="shared" si="1"/>
        <v>40931345</v>
      </c>
      <c r="U9" s="43"/>
    </row>
    <row r="10" spans="1:21" ht="45">
      <c r="A10" s="48" t="s">
        <v>24</v>
      </c>
      <c r="B10" s="49" t="s">
        <v>129</v>
      </c>
      <c r="C10" s="1"/>
      <c r="D10" s="1"/>
      <c r="E10" s="1"/>
      <c r="F10" s="1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9">
        <v>193837</v>
      </c>
      <c r="S10" s="50"/>
      <c r="T10" s="47">
        <f t="shared" si="1"/>
        <v>193837</v>
      </c>
      <c r="U10" s="43"/>
    </row>
    <row r="11" spans="1:21" ht="30">
      <c r="A11" s="48" t="s">
        <v>25</v>
      </c>
      <c r="B11" s="49" t="s">
        <v>130</v>
      </c>
      <c r="C11" s="1">
        <f>21447122+10590600</f>
        <v>32037722</v>
      </c>
      <c r="D11" s="1"/>
      <c r="E11" s="1"/>
      <c r="F11" s="1"/>
      <c r="G11" s="9"/>
      <c r="H11" s="1"/>
      <c r="I11" s="1"/>
      <c r="J11" s="1"/>
      <c r="K11" s="1"/>
      <c r="L11" s="1"/>
      <c r="M11" s="1"/>
      <c r="N11" s="1"/>
      <c r="O11" s="1"/>
      <c r="P11" s="1">
        <f>1578865+86495</f>
        <v>1665360</v>
      </c>
      <c r="Q11" s="1">
        <v>2711453</v>
      </c>
      <c r="R11" s="9">
        <v>4322973</v>
      </c>
      <c r="S11" s="50"/>
      <c r="T11" s="47">
        <f t="shared" si="1"/>
        <v>40737508</v>
      </c>
      <c r="U11" s="43"/>
    </row>
    <row r="12" spans="1:21" ht="15">
      <c r="A12" s="51" t="s">
        <v>131</v>
      </c>
      <c r="B12" s="49" t="s">
        <v>132</v>
      </c>
      <c r="C12" s="1">
        <f>C13</f>
        <v>1340783</v>
      </c>
      <c r="D12" s="1"/>
      <c r="E12" s="1"/>
      <c r="F12" s="1"/>
      <c r="G12" s="9"/>
      <c r="H12" s="1">
        <f>H13</f>
        <v>109850</v>
      </c>
      <c r="I12" s="4">
        <f aca="true" t="shared" si="3" ref="I12:S12">I13</f>
        <v>50140</v>
      </c>
      <c r="J12" s="4">
        <f t="shared" si="3"/>
        <v>45000</v>
      </c>
      <c r="K12" s="4">
        <f t="shared" si="3"/>
        <v>104008</v>
      </c>
      <c r="L12" s="4">
        <f t="shared" si="3"/>
        <v>57000</v>
      </c>
      <c r="M12" s="4">
        <f t="shared" si="3"/>
        <v>50614</v>
      </c>
      <c r="N12" s="4">
        <f t="shared" si="3"/>
        <v>50480</v>
      </c>
      <c r="O12" s="4">
        <f t="shared" si="3"/>
        <v>74000</v>
      </c>
      <c r="P12" s="4">
        <f t="shared" si="3"/>
        <v>392332</v>
      </c>
      <c r="Q12" s="4">
        <f t="shared" si="3"/>
        <v>523971</v>
      </c>
      <c r="R12" s="52">
        <f t="shared" si="3"/>
        <v>648641</v>
      </c>
      <c r="S12" s="53">
        <f t="shared" si="3"/>
        <v>0</v>
      </c>
      <c r="T12" s="47">
        <f t="shared" si="1"/>
        <v>3446819</v>
      </c>
      <c r="U12" s="43"/>
    </row>
    <row r="13" spans="1:21" ht="15">
      <c r="A13" s="51" t="s">
        <v>26</v>
      </c>
      <c r="B13" s="49" t="s">
        <v>27</v>
      </c>
      <c r="C13" s="1">
        <f>SUM(C14:C16)</f>
        <v>1340783</v>
      </c>
      <c r="D13" s="1"/>
      <c r="E13" s="1"/>
      <c r="F13" s="1"/>
      <c r="G13" s="9"/>
      <c r="H13" s="1">
        <f>SUM(H14:H16)</f>
        <v>109850</v>
      </c>
      <c r="I13" s="1">
        <f aca="true" t="shared" si="4" ref="I13:S13">SUM(I14:I16)</f>
        <v>50140</v>
      </c>
      <c r="J13" s="1">
        <f t="shared" si="4"/>
        <v>45000</v>
      </c>
      <c r="K13" s="1">
        <f t="shared" si="4"/>
        <v>104008</v>
      </c>
      <c r="L13" s="1">
        <f t="shared" si="4"/>
        <v>57000</v>
      </c>
      <c r="M13" s="1">
        <f t="shared" si="4"/>
        <v>50614</v>
      </c>
      <c r="N13" s="1">
        <f t="shared" si="4"/>
        <v>50480</v>
      </c>
      <c r="O13" s="1">
        <f>SUM(O14:O16)</f>
        <v>74000</v>
      </c>
      <c r="P13" s="1">
        <f>SUM(P14:P16)</f>
        <v>392332</v>
      </c>
      <c r="Q13" s="1">
        <f>SUM(Q14:Q16)</f>
        <v>523971</v>
      </c>
      <c r="R13" s="52">
        <f t="shared" si="4"/>
        <v>648641</v>
      </c>
      <c r="S13" s="53">
        <f t="shared" si="4"/>
        <v>0</v>
      </c>
      <c r="T13" s="47">
        <f t="shared" si="1"/>
        <v>3446819</v>
      </c>
      <c r="U13" s="43"/>
    </row>
    <row r="14" spans="1:21" ht="15">
      <c r="A14" s="48" t="s">
        <v>12</v>
      </c>
      <c r="B14" s="49" t="s">
        <v>28</v>
      </c>
      <c r="C14" s="4">
        <v>593098</v>
      </c>
      <c r="D14" s="4"/>
      <c r="E14" s="4"/>
      <c r="F14" s="4"/>
      <c r="G14" s="1"/>
      <c r="H14" s="54">
        <v>93500</v>
      </c>
      <c r="I14" s="4">
        <v>45230</v>
      </c>
      <c r="J14" s="4">
        <v>40000</v>
      </c>
      <c r="K14" s="4">
        <v>93133</v>
      </c>
      <c r="L14" s="1">
        <v>49000</v>
      </c>
      <c r="M14" s="4">
        <f>44800+1514</f>
        <v>46314</v>
      </c>
      <c r="N14" s="55">
        <v>47180</v>
      </c>
      <c r="O14" s="52">
        <v>70500</v>
      </c>
      <c r="P14" s="55">
        <v>311521</v>
      </c>
      <c r="Q14" s="55">
        <v>381516</v>
      </c>
      <c r="R14" s="52">
        <v>443087</v>
      </c>
      <c r="S14" s="50"/>
      <c r="T14" s="47">
        <f t="shared" si="1"/>
        <v>2214079</v>
      </c>
      <c r="U14" s="43"/>
    </row>
    <row r="15" spans="1:21" ht="15">
      <c r="A15" s="48" t="s">
        <v>13</v>
      </c>
      <c r="B15" s="49" t="s">
        <v>29</v>
      </c>
      <c r="C15" s="4">
        <v>463238</v>
      </c>
      <c r="D15" s="4"/>
      <c r="E15" s="4"/>
      <c r="F15" s="4"/>
      <c r="G15" s="1"/>
      <c r="H15" s="54">
        <v>4950</v>
      </c>
      <c r="I15" s="4">
        <v>2950</v>
      </c>
      <c r="J15" s="4">
        <v>2200</v>
      </c>
      <c r="K15" s="4">
        <v>4386</v>
      </c>
      <c r="L15" s="1">
        <v>8000</v>
      </c>
      <c r="M15" s="4">
        <f>1400+100</f>
        <v>1500</v>
      </c>
      <c r="N15" s="54">
        <v>800</v>
      </c>
      <c r="O15" s="52">
        <v>500</v>
      </c>
      <c r="P15" s="55">
        <v>43861</v>
      </c>
      <c r="Q15" s="55">
        <v>76951</v>
      </c>
      <c r="R15" s="52">
        <v>73258</v>
      </c>
      <c r="S15" s="50"/>
      <c r="T15" s="47">
        <f t="shared" si="1"/>
        <v>682594</v>
      </c>
      <c r="U15" s="43"/>
    </row>
    <row r="16" spans="1:21" ht="15">
      <c r="A16" s="48" t="s">
        <v>180</v>
      </c>
      <c r="B16" s="49" t="s">
        <v>181</v>
      </c>
      <c r="C16" s="4">
        <v>284447</v>
      </c>
      <c r="D16" s="4" t="s">
        <v>312</v>
      </c>
      <c r="E16" s="4"/>
      <c r="F16" s="4"/>
      <c r="G16" s="1"/>
      <c r="H16" s="54">
        <v>11400</v>
      </c>
      <c r="I16" s="4">
        <v>1960</v>
      </c>
      <c r="J16" s="1">
        <v>2800</v>
      </c>
      <c r="K16" s="4">
        <v>6489</v>
      </c>
      <c r="L16" s="4"/>
      <c r="M16" s="4">
        <v>2800</v>
      </c>
      <c r="N16" s="54">
        <v>2500</v>
      </c>
      <c r="O16" s="52">
        <v>3000</v>
      </c>
      <c r="P16" s="55">
        <v>36950</v>
      </c>
      <c r="Q16" s="55">
        <v>65504</v>
      </c>
      <c r="R16" s="52">
        <v>132296</v>
      </c>
      <c r="S16" s="50"/>
      <c r="T16" s="47">
        <f t="shared" si="1"/>
        <v>550146</v>
      </c>
      <c r="U16" s="43"/>
    </row>
    <row r="17" spans="1:21" ht="15">
      <c r="A17" s="56" t="s">
        <v>14</v>
      </c>
      <c r="B17" s="57" t="s">
        <v>30</v>
      </c>
      <c r="C17" s="5">
        <v>15000</v>
      </c>
      <c r="D17" s="5"/>
      <c r="E17" s="5"/>
      <c r="F17" s="5"/>
      <c r="G17" s="58"/>
      <c r="H17" s="59"/>
      <c r="I17" s="5"/>
      <c r="J17" s="6"/>
      <c r="K17" s="5"/>
      <c r="L17" s="5"/>
      <c r="M17" s="5"/>
      <c r="N17" s="6"/>
      <c r="O17" s="58"/>
      <c r="P17" s="1"/>
      <c r="Q17" s="1">
        <v>10000</v>
      </c>
      <c r="R17" s="58"/>
      <c r="S17" s="53"/>
      <c r="T17" s="47">
        <f t="shared" si="1"/>
        <v>25000</v>
      </c>
      <c r="U17" s="43"/>
    </row>
    <row r="18" spans="1:21" ht="15.75" thickBot="1">
      <c r="A18" s="60" t="s">
        <v>392</v>
      </c>
      <c r="B18" s="61" t="s">
        <v>257</v>
      </c>
      <c r="C18" s="6">
        <v>68000</v>
      </c>
      <c r="D18" s="6"/>
      <c r="E18" s="6"/>
      <c r="F18" s="6"/>
      <c r="G18" s="62"/>
      <c r="H18" s="6"/>
      <c r="I18" s="6"/>
      <c r="J18" s="6"/>
      <c r="K18" s="6"/>
      <c r="L18" s="6"/>
      <c r="M18" s="6"/>
      <c r="N18" s="6"/>
      <c r="O18" s="62"/>
      <c r="P18" s="63">
        <v>12000</v>
      </c>
      <c r="Q18" s="62">
        <v>16650</v>
      </c>
      <c r="R18" s="62">
        <v>13000</v>
      </c>
      <c r="S18" s="64"/>
      <c r="T18" s="65">
        <f t="shared" si="1"/>
        <v>109650</v>
      </c>
      <c r="U18" s="43"/>
    </row>
    <row r="19" spans="1:21" ht="15.75" thickBot="1">
      <c r="A19" s="38"/>
      <c r="B19" s="39" t="s">
        <v>31</v>
      </c>
      <c r="C19" s="40">
        <f aca="true" t="shared" si="5" ref="C19:S19">SUM(C20:C27)</f>
        <v>141980</v>
      </c>
      <c r="D19" s="40">
        <f t="shared" si="5"/>
        <v>200</v>
      </c>
      <c r="E19" s="40">
        <f t="shared" si="5"/>
        <v>0</v>
      </c>
      <c r="F19" s="40">
        <f t="shared" si="5"/>
        <v>0</v>
      </c>
      <c r="G19" s="40">
        <f t="shared" si="5"/>
        <v>0</v>
      </c>
      <c r="H19" s="40">
        <f t="shared" si="5"/>
        <v>4970</v>
      </c>
      <c r="I19" s="40">
        <f t="shared" si="5"/>
        <v>320</v>
      </c>
      <c r="J19" s="40">
        <f t="shared" si="5"/>
        <v>269</v>
      </c>
      <c r="K19" s="40">
        <f t="shared" si="5"/>
        <v>172521</v>
      </c>
      <c r="L19" s="40">
        <f t="shared" si="5"/>
        <v>0</v>
      </c>
      <c r="M19" s="40">
        <f t="shared" si="5"/>
        <v>50</v>
      </c>
      <c r="N19" s="40">
        <f t="shared" si="5"/>
        <v>100</v>
      </c>
      <c r="O19" s="40">
        <f t="shared" si="5"/>
        <v>170</v>
      </c>
      <c r="P19" s="40">
        <f t="shared" si="5"/>
        <v>639843</v>
      </c>
      <c r="Q19" s="40">
        <f t="shared" si="5"/>
        <v>628500</v>
      </c>
      <c r="R19" s="41">
        <f t="shared" si="5"/>
        <v>50756</v>
      </c>
      <c r="S19" s="41">
        <f t="shared" si="5"/>
        <v>0</v>
      </c>
      <c r="T19" s="42">
        <f t="shared" si="1"/>
        <v>1639679</v>
      </c>
      <c r="U19" s="43"/>
    </row>
    <row r="20" spans="1:21" ht="15">
      <c r="A20" s="66" t="s">
        <v>329</v>
      </c>
      <c r="B20" s="67" t="s">
        <v>330</v>
      </c>
      <c r="C20" s="7">
        <v>60000</v>
      </c>
      <c r="D20" s="68"/>
      <c r="E20" s="68"/>
      <c r="F20" s="68"/>
      <c r="G20" s="69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  <c r="T20" s="47">
        <f t="shared" si="1"/>
        <v>60000</v>
      </c>
      <c r="U20" s="43"/>
    </row>
    <row r="21" spans="1:21" ht="15">
      <c r="A21" s="44" t="s">
        <v>393</v>
      </c>
      <c r="B21" s="45" t="s">
        <v>394</v>
      </c>
      <c r="C21" s="46"/>
      <c r="D21" s="46"/>
      <c r="E21" s="46"/>
      <c r="F21" s="46"/>
      <c r="G21" s="11"/>
      <c r="H21" s="46"/>
      <c r="I21" s="46"/>
      <c r="J21" s="46"/>
      <c r="K21" s="46"/>
      <c r="L21" s="46"/>
      <c r="M21" s="71"/>
      <c r="N21" s="46"/>
      <c r="O21" s="72"/>
      <c r="P21" s="1"/>
      <c r="Q21" s="1"/>
      <c r="R21" s="72">
        <v>1518</v>
      </c>
      <c r="S21" s="50"/>
      <c r="T21" s="47">
        <f t="shared" si="1"/>
        <v>1518</v>
      </c>
      <c r="U21" s="43"/>
    </row>
    <row r="22" spans="1:21" ht="33" customHeight="1">
      <c r="A22" s="44" t="s">
        <v>540</v>
      </c>
      <c r="B22" s="45" t="s">
        <v>541</v>
      </c>
      <c r="C22" s="46"/>
      <c r="D22" s="46"/>
      <c r="E22" s="46"/>
      <c r="F22" s="46"/>
      <c r="G22" s="11"/>
      <c r="H22" s="46"/>
      <c r="I22" s="46"/>
      <c r="J22" s="46"/>
      <c r="K22" s="46"/>
      <c r="L22" s="46"/>
      <c r="M22" s="71"/>
      <c r="N22" s="46"/>
      <c r="O22" s="72"/>
      <c r="P22" s="1">
        <v>100</v>
      </c>
      <c r="Q22" s="1">
        <v>50</v>
      </c>
      <c r="R22" s="72"/>
      <c r="S22" s="50"/>
      <c r="T22" s="47">
        <f t="shared" si="1"/>
        <v>150</v>
      </c>
      <c r="U22" s="43"/>
    </row>
    <row r="23" spans="1:21" ht="30">
      <c r="A23" s="51" t="s">
        <v>32</v>
      </c>
      <c r="B23" s="49" t="s">
        <v>33</v>
      </c>
      <c r="C23" s="1">
        <v>7180</v>
      </c>
      <c r="D23" s="1">
        <v>200</v>
      </c>
      <c r="E23" s="1"/>
      <c r="F23" s="1"/>
      <c r="G23" s="9"/>
      <c r="H23" s="1"/>
      <c r="I23" s="1">
        <v>200</v>
      </c>
      <c r="J23" s="1">
        <v>50</v>
      </c>
      <c r="K23" s="1">
        <v>2200</v>
      </c>
      <c r="L23" s="1"/>
      <c r="M23" s="4">
        <v>25</v>
      </c>
      <c r="N23" s="1"/>
      <c r="O23" s="52">
        <v>100</v>
      </c>
      <c r="P23" s="1">
        <v>2900</v>
      </c>
      <c r="Q23" s="1">
        <v>4370</v>
      </c>
      <c r="R23" s="52">
        <v>3463</v>
      </c>
      <c r="S23" s="50"/>
      <c r="T23" s="47">
        <f t="shared" si="1"/>
        <v>20688</v>
      </c>
      <c r="U23" s="43"/>
    </row>
    <row r="24" spans="1:21" ht="15">
      <c r="A24" s="51" t="s">
        <v>16</v>
      </c>
      <c r="B24" s="49" t="s">
        <v>15</v>
      </c>
      <c r="C24" s="1">
        <v>20950</v>
      </c>
      <c r="D24" s="1"/>
      <c r="E24" s="1"/>
      <c r="F24" s="1"/>
      <c r="G24" s="9"/>
      <c r="H24" s="1">
        <v>1300</v>
      </c>
      <c r="I24" s="1">
        <v>120</v>
      </c>
      <c r="J24" s="1">
        <v>50</v>
      </c>
      <c r="K24" s="1">
        <v>850</v>
      </c>
      <c r="L24" s="1"/>
      <c r="M24" s="4">
        <v>25</v>
      </c>
      <c r="N24" s="1">
        <v>100</v>
      </c>
      <c r="O24" s="52">
        <v>70</v>
      </c>
      <c r="P24" s="1">
        <v>2000</v>
      </c>
      <c r="Q24" s="1">
        <v>4690</v>
      </c>
      <c r="R24" s="52">
        <v>12650</v>
      </c>
      <c r="S24" s="50"/>
      <c r="T24" s="47">
        <f t="shared" si="1"/>
        <v>42805</v>
      </c>
      <c r="U24" s="43"/>
    </row>
    <row r="25" spans="1:21" ht="15">
      <c r="A25" s="51" t="s">
        <v>133</v>
      </c>
      <c r="B25" s="49" t="s">
        <v>134</v>
      </c>
      <c r="C25" s="1">
        <v>31100</v>
      </c>
      <c r="D25" s="1"/>
      <c r="E25" s="1"/>
      <c r="F25" s="1"/>
      <c r="G25" s="9"/>
      <c r="H25" s="1"/>
      <c r="I25" s="1"/>
      <c r="J25" s="1"/>
      <c r="K25" s="1"/>
      <c r="L25" s="1"/>
      <c r="M25" s="1"/>
      <c r="N25" s="1"/>
      <c r="O25" s="9"/>
      <c r="P25" s="9">
        <v>7820</v>
      </c>
      <c r="Q25" s="9">
        <v>2990</v>
      </c>
      <c r="R25" s="9">
        <v>13825</v>
      </c>
      <c r="S25" s="50"/>
      <c r="T25" s="47">
        <f t="shared" si="1"/>
        <v>55735</v>
      </c>
      <c r="U25" s="43"/>
    </row>
    <row r="26" spans="1:21" ht="15">
      <c r="A26" s="51" t="s">
        <v>395</v>
      </c>
      <c r="B26" s="49" t="s">
        <v>34</v>
      </c>
      <c r="C26" s="1">
        <f>9150+100</f>
        <v>9250</v>
      </c>
      <c r="D26" s="1"/>
      <c r="E26" s="1"/>
      <c r="F26" s="1"/>
      <c r="G26" s="9"/>
      <c r="H26" s="1"/>
      <c r="I26" s="1"/>
      <c r="J26" s="1">
        <v>169</v>
      </c>
      <c r="K26" s="1"/>
      <c r="L26" s="1"/>
      <c r="M26" s="1"/>
      <c r="N26" s="1"/>
      <c r="O26" s="9"/>
      <c r="P26" s="9">
        <v>130</v>
      </c>
      <c r="Q26" s="9">
        <v>200</v>
      </c>
      <c r="R26" s="9">
        <v>1300</v>
      </c>
      <c r="S26" s="50"/>
      <c r="T26" s="47">
        <f t="shared" si="1"/>
        <v>11049</v>
      </c>
      <c r="U26" s="43"/>
    </row>
    <row r="27" spans="1:21" ht="27.75" customHeight="1" thickBot="1">
      <c r="A27" s="51" t="s">
        <v>122</v>
      </c>
      <c r="B27" s="49" t="s">
        <v>261</v>
      </c>
      <c r="C27" s="1">
        <v>13500</v>
      </c>
      <c r="D27" s="1"/>
      <c r="E27" s="1"/>
      <c r="F27" s="1"/>
      <c r="G27" s="1"/>
      <c r="H27" s="1">
        <v>3670</v>
      </c>
      <c r="I27" s="52"/>
      <c r="J27" s="9"/>
      <c r="K27" s="1">
        <f>125471+44000</f>
        <v>169471</v>
      </c>
      <c r="L27" s="9"/>
      <c r="M27" s="1"/>
      <c r="N27" s="9"/>
      <c r="O27" s="9"/>
      <c r="P27" s="9">
        <v>626893</v>
      </c>
      <c r="Q27" s="9">
        <v>616200</v>
      </c>
      <c r="R27" s="9">
        <v>18000</v>
      </c>
      <c r="S27" s="50"/>
      <c r="T27" s="47">
        <f t="shared" si="1"/>
        <v>1447734</v>
      </c>
      <c r="U27" s="43"/>
    </row>
    <row r="28" spans="1:21" ht="58.5" thickBot="1">
      <c r="A28" s="73" t="s">
        <v>265</v>
      </c>
      <c r="B28" s="74" t="s">
        <v>264</v>
      </c>
      <c r="C28" s="75">
        <f>42816+50500</f>
        <v>93316</v>
      </c>
      <c r="D28" s="75"/>
      <c r="E28" s="75"/>
      <c r="F28" s="75"/>
      <c r="G28" s="12"/>
      <c r="H28" s="75"/>
      <c r="I28" s="12"/>
      <c r="J28" s="12"/>
      <c r="K28" s="75"/>
      <c r="L28" s="12"/>
      <c r="M28" s="75"/>
      <c r="N28" s="12"/>
      <c r="O28" s="12"/>
      <c r="P28" s="12">
        <v>2500</v>
      </c>
      <c r="Q28" s="12">
        <v>20000</v>
      </c>
      <c r="R28" s="12">
        <v>41385</v>
      </c>
      <c r="S28" s="64"/>
      <c r="T28" s="47">
        <f t="shared" si="1"/>
        <v>157201</v>
      </c>
      <c r="U28" s="43"/>
    </row>
    <row r="29" spans="1:21" ht="15.75" thickBot="1">
      <c r="A29" s="76" t="s">
        <v>35</v>
      </c>
      <c r="B29" s="39" t="s">
        <v>36</v>
      </c>
      <c r="C29" s="40">
        <f aca="true" t="shared" si="6" ref="C29:S29">SUM(C30:C30)</f>
        <v>27627539</v>
      </c>
      <c r="D29" s="40">
        <f t="shared" si="6"/>
        <v>0</v>
      </c>
      <c r="E29" s="40">
        <f t="shared" si="6"/>
        <v>6229</v>
      </c>
      <c r="F29" s="40">
        <f t="shared" si="6"/>
        <v>0</v>
      </c>
      <c r="G29" s="41">
        <f t="shared" si="6"/>
        <v>0</v>
      </c>
      <c r="H29" s="40">
        <f t="shared" si="6"/>
        <v>0</v>
      </c>
      <c r="I29" s="40">
        <f t="shared" si="6"/>
        <v>0</v>
      </c>
      <c r="J29" s="40">
        <f t="shared" si="6"/>
        <v>0</v>
      </c>
      <c r="K29" s="40">
        <f t="shared" si="6"/>
        <v>94772</v>
      </c>
      <c r="L29" s="40">
        <f t="shared" si="6"/>
        <v>0</v>
      </c>
      <c r="M29" s="40">
        <f t="shared" si="6"/>
        <v>9998</v>
      </c>
      <c r="N29" s="40">
        <f t="shared" si="6"/>
        <v>200</v>
      </c>
      <c r="O29" s="40">
        <f t="shared" si="6"/>
        <v>0</v>
      </c>
      <c r="P29" s="40">
        <f t="shared" si="6"/>
        <v>1826461</v>
      </c>
      <c r="Q29" s="40">
        <f t="shared" si="6"/>
        <v>3988227</v>
      </c>
      <c r="R29" s="41">
        <f t="shared" si="6"/>
        <v>1909904</v>
      </c>
      <c r="S29" s="41">
        <f t="shared" si="6"/>
        <v>0</v>
      </c>
      <c r="T29" s="42">
        <f t="shared" si="1"/>
        <v>35463330</v>
      </c>
      <c r="U29" s="43"/>
    </row>
    <row r="30" spans="1:21" ht="15.75" customHeight="1" thickBot="1">
      <c r="A30" s="77" t="s">
        <v>179</v>
      </c>
      <c r="B30" s="78" t="s">
        <v>182</v>
      </c>
      <c r="C30" s="46">
        <f>17550580+1381868+1590296+74157+682890+6177647+170101</f>
        <v>27627539</v>
      </c>
      <c r="D30" s="46"/>
      <c r="E30" s="46">
        <v>6229</v>
      </c>
      <c r="F30" s="11"/>
      <c r="G30" s="11"/>
      <c r="H30" s="46"/>
      <c r="I30" s="11"/>
      <c r="J30" s="11"/>
      <c r="K30" s="11">
        <f>78440+15185+1147</f>
        <v>94772</v>
      </c>
      <c r="L30" s="11"/>
      <c r="M30" s="11">
        <v>9998</v>
      </c>
      <c r="N30" s="11">
        <v>200</v>
      </c>
      <c r="O30" s="11"/>
      <c r="P30" s="11">
        <f>1825177+1284</f>
        <v>1826461</v>
      </c>
      <c r="Q30" s="11">
        <f>3964320+20798+3109</f>
        <v>3988227</v>
      </c>
      <c r="R30" s="11">
        <f>1917207-9973+2670</f>
        <v>1909904</v>
      </c>
      <c r="S30" s="50"/>
      <c r="T30" s="47">
        <f t="shared" si="1"/>
        <v>35463330</v>
      </c>
      <c r="U30" s="43"/>
    </row>
    <row r="31" spans="1:21" ht="15.75" thickBot="1">
      <c r="A31" s="76" t="s">
        <v>37</v>
      </c>
      <c r="B31" s="39" t="s">
        <v>38</v>
      </c>
      <c r="C31" s="41">
        <f aca="true" t="shared" si="7" ref="C31:S31">SUM(C32:C33)</f>
        <v>859789</v>
      </c>
      <c r="D31" s="41">
        <f t="shared" si="7"/>
        <v>0</v>
      </c>
      <c r="E31" s="41">
        <f t="shared" si="7"/>
        <v>0</v>
      </c>
      <c r="F31" s="41">
        <f t="shared" si="7"/>
        <v>0</v>
      </c>
      <c r="G31" s="41">
        <f t="shared" si="7"/>
        <v>0</v>
      </c>
      <c r="H31" s="40">
        <f t="shared" si="7"/>
        <v>0</v>
      </c>
      <c r="I31" s="40">
        <f t="shared" si="7"/>
        <v>0</v>
      </c>
      <c r="J31" s="40">
        <f t="shared" si="7"/>
        <v>0</v>
      </c>
      <c r="K31" s="40">
        <f t="shared" si="7"/>
        <v>65214</v>
      </c>
      <c r="L31" s="40">
        <f t="shared" si="7"/>
        <v>0</v>
      </c>
      <c r="M31" s="40">
        <f t="shared" si="7"/>
        <v>0</v>
      </c>
      <c r="N31" s="40">
        <f t="shared" si="7"/>
        <v>0</v>
      </c>
      <c r="O31" s="40">
        <f t="shared" si="7"/>
        <v>0</v>
      </c>
      <c r="P31" s="40">
        <f t="shared" si="7"/>
        <v>106336</v>
      </c>
      <c r="Q31" s="40">
        <f t="shared" si="7"/>
        <v>168578</v>
      </c>
      <c r="R31" s="41">
        <f t="shared" si="7"/>
        <v>97870</v>
      </c>
      <c r="S31" s="41">
        <f t="shared" si="7"/>
        <v>100000</v>
      </c>
      <c r="T31" s="42">
        <f t="shared" si="1"/>
        <v>1397787</v>
      </c>
      <c r="U31" s="43"/>
    </row>
    <row r="32" spans="1:21" ht="30">
      <c r="A32" s="51" t="s">
        <v>39</v>
      </c>
      <c r="B32" s="49" t="s">
        <v>183</v>
      </c>
      <c r="C32" s="9">
        <f>695773+164016</f>
        <v>859789</v>
      </c>
      <c r="D32" s="9"/>
      <c r="E32" s="9"/>
      <c r="F32" s="9"/>
      <c r="G32" s="9"/>
      <c r="H32" s="1"/>
      <c r="I32" s="9"/>
      <c r="J32" s="9"/>
      <c r="K32" s="9">
        <f>100000-10286-24500</f>
        <v>65214</v>
      </c>
      <c r="L32" s="9"/>
      <c r="M32" s="1"/>
      <c r="N32" s="9"/>
      <c r="O32" s="9"/>
      <c r="P32" s="9">
        <f>130000-23664</f>
        <v>106336</v>
      </c>
      <c r="Q32" s="9">
        <f>256800-88222</f>
        <v>168578</v>
      </c>
      <c r="R32" s="9">
        <f>150000-52130</f>
        <v>97870</v>
      </c>
      <c r="S32" s="50">
        <v>100000</v>
      </c>
      <c r="T32" s="47">
        <f t="shared" si="1"/>
        <v>1397787</v>
      </c>
      <c r="U32" s="43"/>
    </row>
    <row r="33" spans="1:21" ht="26.25" customHeight="1" thickBot="1">
      <c r="A33" s="60" t="s">
        <v>40</v>
      </c>
      <c r="B33" s="49" t="s">
        <v>286</v>
      </c>
      <c r="C33" s="6"/>
      <c r="D33" s="6"/>
      <c r="E33" s="6"/>
      <c r="F33" s="62"/>
      <c r="G33" s="62"/>
      <c r="H33" s="59"/>
      <c r="I33" s="6"/>
      <c r="J33" s="6"/>
      <c r="K33" s="6"/>
      <c r="L33" s="62"/>
      <c r="M33" s="63"/>
      <c r="N33" s="79"/>
      <c r="O33" s="79"/>
      <c r="P33" s="80"/>
      <c r="Q33" s="63"/>
      <c r="R33" s="79"/>
      <c r="S33" s="64"/>
      <c r="T33" s="65">
        <f t="shared" si="1"/>
        <v>0</v>
      </c>
      <c r="U33" s="43"/>
    </row>
    <row r="34" spans="1:21" ht="15.75" thickBot="1">
      <c r="A34" s="76" t="s">
        <v>41</v>
      </c>
      <c r="B34" s="39" t="s">
        <v>42</v>
      </c>
      <c r="C34" s="41">
        <f aca="true" t="shared" si="8" ref="C34:R34">SUM(C35,C36,C42)</f>
        <v>319041</v>
      </c>
      <c r="D34" s="41">
        <f t="shared" si="8"/>
        <v>2176793</v>
      </c>
      <c r="E34" s="41">
        <f t="shared" si="8"/>
        <v>41974</v>
      </c>
      <c r="F34" s="41">
        <f t="shared" si="8"/>
        <v>31285</v>
      </c>
      <c r="G34" s="41">
        <f t="shared" si="8"/>
        <v>290069</v>
      </c>
      <c r="H34" s="41">
        <f t="shared" si="8"/>
        <v>56200</v>
      </c>
      <c r="I34" s="41">
        <f t="shared" si="8"/>
        <v>99340</v>
      </c>
      <c r="J34" s="41">
        <f t="shared" si="8"/>
        <v>121700</v>
      </c>
      <c r="K34" s="41">
        <f t="shared" si="8"/>
        <v>768395</v>
      </c>
      <c r="L34" s="41">
        <f t="shared" si="8"/>
        <v>10000</v>
      </c>
      <c r="M34" s="41">
        <f t="shared" si="8"/>
        <v>17800</v>
      </c>
      <c r="N34" s="41">
        <f t="shared" si="8"/>
        <v>11500</v>
      </c>
      <c r="O34" s="41">
        <f t="shared" si="8"/>
        <v>43000</v>
      </c>
      <c r="P34" s="41">
        <f t="shared" si="8"/>
        <v>334745</v>
      </c>
      <c r="Q34" s="41">
        <f t="shared" si="8"/>
        <v>570156</v>
      </c>
      <c r="R34" s="41">
        <f t="shared" si="8"/>
        <v>114306</v>
      </c>
      <c r="S34" s="81"/>
      <c r="T34" s="42">
        <f>SUM(C34:R34)</f>
        <v>5006304</v>
      </c>
      <c r="U34" s="43"/>
    </row>
    <row r="35" spans="1:21" ht="31.5">
      <c r="A35" s="82" t="s">
        <v>163</v>
      </c>
      <c r="B35" s="83" t="s">
        <v>164</v>
      </c>
      <c r="C35" s="84">
        <f>24678+7604</f>
        <v>32282</v>
      </c>
      <c r="D35" s="46"/>
      <c r="E35" s="11"/>
      <c r="F35" s="11"/>
      <c r="G35" s="11"/>
      <c r="H35" s="46"/>
      <c r="I35" s="46"/>
      <c r="J35" s="46"/>
      <c r="K35" s="46"/>
      <c r="L35" s="46"/>
      <c r="M35" s="46"/>
      <c r="N35" s="46"/>
      <c r="O35" s="11"/>
      <c r="P35" s="11"/>
      <c r="Q35" s="11">
        <v>14748</v>
      </c>
      <c r="R35" s="11"/>
      <c r="S35" s="50"/>
      <c r="T35" s="47">
        <f>SUM(C35:R35)</f>
        <v>47030</v>
      </c>
      <c r="U35" s="43"/>
    </row>
    <row r="36" spans="1:21" ht="43.5">
      <c r="A36" s="85" t="s">
        <v>43</v>
      </c>
      <c r="B36" s="86" t="s">
        <v>184</v>
      </c>
      <c r="C36" s="87">
        <f aca="true" t="shared" si="9" ref="C36:S36">SUM(C37:C41)</f>
        <v>286759</v>
      </c>
      <c r="D36" s="87">
        <f t="shared" si="9"/>
        <v>2175793</v>
      </c>
      <c r="E36" s="87">
        <f t="shared" si="9"/>
        <v>38382</v>
      </c>
      <c r="F36" s="87">
        <f t="shared" si="9"/>
        <v>31285</v>
      </c>
      <c r="G36" s="87">
        <f t="shared" si="9"/>
        <v>290069</v>
      </c>
      <c r="H36" s="87">
        <f t="shared" si="9"/>
        <v>56200</v>
      </c>
      <c r="I36" s="88">
        <f t="shared" si="9"/>
        <v>98340</v>
      </c>
      <c r="J36" s="87">
        <f t="shared" si="9"/>
        <v>121700</v>
      </c>
      <c r="K36" s="87">
        <f t="shared" si="9"/>
        <v>768395</v>
      </c>
      <c r="L36" s="87">
        <f t="shared" si="9"/>
        <v>10000</v>
      </c>
      <c r="M36" s="87">
        <f t="shared" si="9"/>
        <v>17800</v>
      </c>
      <c r="N36" s="87">
        <f t="shared" si="9"/>
        <v>11500</v>
      </c>
      <c r="O36" s="87">
        <f t="shared" si="9"/>
        <v>43000</v>
      </c>
      <c r="P36" s="89">
        <f t="shared" si="9"/>
        <v>333745</v>
      </c>
      <c r="Q36" s="87">
        <f t="shared" si="9"/>
        <v>550508</v>
      </c>
      <c r="R36" s="87">
        <f t="shared" si="9"/>
        <v>103946</v>
      </c>
      <c r="S36" s="88">
        <f t="shared" si="9"/>
        <v>0</v>
      </c>
      <c r="T36" s="47">
        <f aca="true" t="shared" si="10" ref="T36:T46">SUM(C36:S36)</f>
        <v>4937422</v>
      </c>
      <c r="U36" s="43"/>
    </row>
    <row r="37" spans="1:21" ht="30">
      <c r="A37" s="48" t="s">
        <v>331</v>
      </c>
      <c r="B37" s="49" t="s">
        <v>396</v>
      </c>
      <c r="C37" s="89"/>
      <c r="D37" s="89"/>
      <c r="E37" s="89"/>
      <c r="F37" s="89"/>
      <c r="G37" s="14"/>
      <c r="H37" s="87"/>
      <c r="I37" s="88"/>
      <c r="J37" s="87"/>
      <c r="K37" s="52"/>
      <c r="L37" s="87"/>
      <c r="M37" s="88"/>
      <c r="N37" s="87"/>
      <c r="O37" s="88"/>
      <c r="P37" s="87">
        <v>3975</v>
      </c>
      <c r="Q37" s="87">
        <v>50</v>
      </c>
      <c r="R37" s="88"/>
      <c r="S37" s="70"/>
      <c r="T37" s="47">
        <f t="shared" si="10"/>
        <v>4025</v>
      </c>
      <c r="U37" s="43"/>
    </row>
    <row r="38" spans="1:21" ht="15">
      <c r="A38" s="48" t="s">
        <v>135</v>
      </c>
      <c r="B38" s="49" t="s">
        <v>136</v>
      </c>
      <c r="C38" s="4">
        <v>93435</v>
      </c>
      <c r="D38" s="89"/>
      <c r="E38" s="89"/>
      <c r="F38" s="89"/>
      <c r="G38" s="9"/>
      <c r="H38" s="1">
        <v>46500</v>
      </c>
      <c r="I38" s="87"/>
      <c r="J38" s="1">
        <v>6900</v>
      </c>
      <c r="K38" s="1">
        <f>53078-1535</f>
        <v>51543</v>
      </c>
      <c r="L38" s="87"/>
      <c r="M38" s="87"/>
      <c r="N38" s="87"/>
      <c r="O38" s="14">
        <v>4000</v>
      </c>
      <c r="P38" s="14">
        <v>39837</v>
      </c>
      <c r="Q38" s="87">
        <v>123565</v>
      </c>
      <c r="R38" s="88">
        <v>25983</v>
      </c>
      <c r="S38" s="70"/>
      <c r="T38" s="47">
        <f t="shared" si="10"/>
        <v>391763</v>
      </c>
      <c r="U38" s="43"/>
    </row>
    <row r="39" spans="1:21" ht="30">
      <c r="A39" s="48" t="s">
        <v>137</v>
      </c>
      <c r="B39" s="49" t="s">
        <v>354</v>
      </c>
      <c r="C39" s="1"/>
      <c r="D39" s="1"/>
      <c r="E39" s="1"/>
      <c r="F39" s="9"/>
      <c r="G39" s="9"/>
      <c r="H39" s="1"/>
      <c r="I39" s="1">
        <v>10</v>
      </c>
      <c r="J39" s="1"/>
      <c r="K39" s="1"/>
      <c r="L39" s="1"/>
      <c r="M39" s="1"/>
      <c r="N39" s="1"/>
      <c r="O39" s="9"/>
      <c r="P39" s="9">
        <v>50</v>
      </c>
      <c r="Q39" s="1">
        <v>1030</v>
      </c>
      <c r="R39" s="52">
        <v>6500</v>
      </c>
      <c r="S39" s="50"/>
      <c r="T39" s="47">
        <f t="shared" si="10"/>
        <v>7590</v>
      </c>
      <c r="U39" s="43"/>
    </row>
    <row r="40" spans="1:21" ht="15">
      <c r="A40" s="48" t="s">
        <v>44</v>
      </c>
      <c r="B40" s="49" t="s">
        <v>45</v>
      </c>
      <c r="C40" s="1">
        <v>172900</v>
      </c>
      <c r="D40" s="1">
        <v>37476</v>
      </c>
      <c r="E40" s="1">
        <f>53827-27600</f>
        <v>26227</v>
      </c>
      <c r="F40" s="1">
        <v>10850</v>
      </c>
      <c r="G40" s="1">
        <v>16589</v>
      </c>
      <c r="H40" s="4">
        <v>4700</v>
      </c>
      <c r="I40" s="1">
        <v>10310</v>
      </c>
      <c r="J40" s="1">
        <v>5780</v>
      </c>
      <c r="K40" s="1">
        <f>19496+4426</f>
        <v>23922</v>
      </c>
      <c r="L40" s="9">
        <v>2500</v>
      </c>
      <c r="M40" s="1">
        <v>4000</v>
      </c>
      <c r="N40" s="90">
        <v>3500</v>
      </c>
      <c r="O40" s="52">
        <v>6000</v>
      </c>
      <c r="P40" s="90">
        <v>17360</v>
      </c>
      <c r="Q40" s="90">
        <v>185599</v>
      </c>
      <c r="R40" s="52">
        <v>39404</v>
      </c>
      <c r="S40" s="50"/>
      <c r="T40" s="47">
        <f t="shared" si="10"/>
        <v>567117</v>
      </c>
      <c r="U40" s="43"/>
    </row>
    <row r="41" spans="1:21" ht="30">
      <c r="A41" s="48" t="s">
        <v>46</v>
      </c>
      <c r="B41" s="49" t="s">
        <v>47</v>
      </c>
      <c r="C41" s="1">
        <v>20424</v>
      </c>
      <c r="D41" s="1">
        <v>2138317</v>
      </c>
      <c r="E41" s="1">
        <f>103850-91695</f>
        <v>12155</v>
      </c>
      <c r="F41" s="1">
        <v>20435</v>
      </c>
      <c r="G41" s="1">
        <f>265180+8300</f>
        <v>273480</v>
      </c>
      <c r="H41" s="91">
        <v>5000</v>
      </c>
      <c r="I41" s="4">
        <v>88020</v>
      </c>
      <c r="J41" s="1">
        <f>108920+100</f>
        <v>109020</v>
      </c>
      <c r="K41" s="4">
        <v>692930</v>
      </c>
      <c r="L41" s="9">
        <v>7500</v>
      </c>
      <c r="M41" s="1">
        <v>13800</v>
      </c>
      <c r="N41" s="54">
        <v>8000</v>
      </c>
      <c r="O41" s="52">
        <v>33000</v>
      </c>
      <c r="P41" s="55">
        <v>272523</v>
      </c>
      <c r="Q41" s="55">
        <v>240264</v>
      </c>
      <c r="R41" s="52">
        <v>32059</v>
      </c>
      <c r="S41" s="50"/>
      <c r="T41" s="47">
        <f t="shared" si="10"/>
        <v>3966927</v>
      </c>
      <c r="U41" s="43"/>
    </row>
    <row r="42" spans="1:21" ht="30" thickBot="1">
      <c r="A42" s="85" t="s">
        <v>272</v>
      </c>
      <c r="B42" s="86" t="s">
        <v>273</v>
      </c>
      <c r="C42" s="75"/>
      <c r="D42" s="75">
        <v>1000</v>
      </c>
      <c r="E42" s="75">
        <v>3592</v>
      </c>
      <c r="F42" s="12"/>
      <c r="G42" s="12"/>
      <c r="H42" s="92"/>
      <c r="I42" s="75">
        <v>1000</v>
      </c>
      <c r="J42" s="93"/>
      <c r="K42" s="93"/>
      <c r="L42" s="94"/>
      <c r="M42" s="75"/>
      <c r="N42" s="93"/>
      <c r="O42" s="93"/>
      <c r="P42" s="93">
        <v>1000</v>
      </c>
      <c r="Q42" s="93">
        <v>4900</v>
      </c>
      <c r="R42" s="93">
        <v>10360</v>
      </c>
      <c r="S42" s="94"/>
      <c r="T42" s="47">
        <f t="shared" si="10"/>
        <v>21852</v>
      </c>
      <c r="U42" s="43"/>
    </row>
    <row r="43" spans="1:21" ht="15.75" thickBot="1">
      <c r="A43" s="95"/>
      <c r="B43" s="96" t="s">
        <v>48</v>
      </c>
      <c r="C43" s="97">
        <f aca="true" t="shared" si="11" ref="C43:S43">SUM(C8+C19+C28+C29+C31+C34)</f>
        <v>62503170</v>
      </c>
      <c r="D43" s="97">
        <f t="shared" si="11"/>
        <v>2176993</v>
      </c>
      <c r="E43" s="97">
        <f t="shared" si="11"/>
        <v>48203</v>
      </c>
      <c r="F43" s="97">
        <f t="shared" si="11"/>
        <v>31285</v>
      </c>
      <c r="G43" s="98">
        <f t="shared" si="11"/>
        <v>290069</v>
      </c>
      <c r="H43" s="97">
        <f t="shared" si="11"/>
        <v>171020</v>
      </c>
      <c r="I43" s="97">
        <f t="shared" si="11"/>
        <v>149800</v>
      </c>
      <c r="J43" s="97">
        <f t="shared" si="11"/>
        <v>166969</v>
      </c>
      <c r="K43" s="97">
        <f t="shared" si="11"/>
        <v>1204910</v>
      </c>
      <c r="L43" s="97">
        <f t="shared" si="11"/>
        <v>67000</v>
      </c>
      <c r="M43" s="97">
        <f t="shared" si="11"/>
        <v>78462</v>
      </c>
      <c r="N43" s="97">
        <f t="shared" si="11"/>
        <v>62280</v>
      </c>
      <c r="O43" s="97">
        <f t="shared" si="11"/>
        <v>117170</v>
      </c>
      <c r="P43" s="97">
        <f t="shared" si="11"/>
        <v>4979577</v>
      </c>
      <c r="Q43" s="97">
        <f t="shared" si="11"/>
        <v>8637535</v>
      </c>
      <c r="R43" s="97">
        <f t="shared" si="11"/>
        <v>7392672</v>
      </c>
      <c r="S43" s="97">
        <f t="shared" si="11"/>
        <v>100000</v>
      </c>
      <c r="T43" s="42">
        <f t="shared" si="10"/>
        <v>88177115</v>
      </c>
      <c r="U43" s="43"/>
    </row>
    <row r="44" spans="1:21" ht="15">
      <c r="A44" s="99" t="s">
        <v>655</v>
      </c>
      <c r="B44" s="100" t="s">
        <v>613</v>
      </c>
      <c r="C44" s="99">
        <f>20211488-987669+4350988</f>
        <v>23574807</v>
      </c>
      <c r="D44" s="46"/>
      <c r="E44" s="46"/>
      <c r="F44" s="11"/>
      <c r="G44" s="11"/>
      <c r="H44" s="46"/>
      <c r="I44" s="46"/>
      <c r="J44" s="46"/>
      <c r="K44" s="46"/>
      <c r="L44" s="46"/>
      <c r="M44" s="46"/>
      <c r="N44" s="11"/>
      <c r="O44" s="7"/>
      <c r="P44" s="11">
        <v>8764</v>
      </c>
      <c r="Q44" s="11">
        <f>5065097-4781569</f>
        <v>283528</v>
      </c>
      <c r="R44" s="7">
        <f>416566-173401</f>
        <v>243165</v>
      </c>
      <c r="S44" s="7"/>
      <c r="T44" s="68">
        <f t="shared" si="10"/>
        <v>24110264</v>
      </c>
      <c r="U44" s="43"/>
    </row>
    <row r="45" spans="1:21" ht="15">
      <c r="A45" s="101"/>
      <c r="B45" s="102" t="s">
        <v>49</v>
      </c>
      <c r="C45" s="103">
        <f aca="true" t="shared" si="12" ref="C45:S45">SUM(C43:C44)</f>
        <v>86077977</v>
      </c>
      <c r="D45" s="101">
        <f t="shared" si="12"/>
        <v>2176993</v>
      </c>
      <c r="E45" s="101">
        <f t="shared" si="12"/>
        <v>48203</v>
      </c>
      <c r="F45" s="101">
        <f t="shared" si="12"/>
        <v>31285</v>
      </c>
      <c r="G45" s="104">
        <f t="shared" si="12"/>
        <v>290069</v>
      </c>
      <c r="H45" s="101">
        <f t="shared" si="12"/>
        <v>171020</v>
      </c>
      <c r="I45" s="101">
        <f t="shared" si="12"/>
        <v>149800</v>
      </c>
      <c r="J45" s="101">
        <f t="shared" si="12"/>
        <v>166969</v>
      </c>
      <c r="K45" s="101">
        <f t="shared" si="12"/>
        <v>1204910</v>
      </c>
      <c r="L45" s="101">
        <f t="shared" si="12"/>
        <v>67000</v>
      </c>
      <c r="M45" s="101">
        <f t="shared" si="12"/>
        <v>78462</v>
      </c>
      <c r="N45" s="104">
        <f t="shared" si="12"/>
        <v>62280</v>
      </c>
      <c r="O45" s="101">
        <f>SUM(O43:O44)</f>
        <v>117170</v>
      </c>
      <c r="P45" s="101">
        <f>SUM(P43:P44)</f>
        <v>4988341</v>
      </c>
      <c r="Q45" s="101">
        <f>SUM(Q43:Q44)</f>
        <v>8921063</v>
      </c>
      <c r="R45" s="101">
        <f t="shared" si="12"/>
        <v>7635837</v>
      </c>
      <c r="S45" s="101">
        <f t="shared" si="12"/>
        <v>100000</v>
      </c>
      <c r="T45" s="84">
        <f t="shared" si="10"/>
        <v>112287379</v>
      </c>
      <c r="U45" s="43"/>
    </row>
    <row r="46" spans="1:21" ht="18" customHeight="1">
      <c r="A46" s="105" t="s">
        <v>270</v>
      </c>
      <c r="B46" s="106" t="s">
        <v>491</v>
      </c>
      <c r="C46" s="8">
        <v>7128989</v>
      </c>
      <c r="D46" s="107">
        <v>1963554</v>
      </c>
      <c r="E46" s="1">
        <v>228207</v>
      </c>
      <c r="F46" s="1"/>
      <c r="G46" s="1">
        <v>80182</v>
      </c>
      <c r="H46" s="4">
        <v>277425</v>
      </c>
      <c r="I46" s="1">
        <v>56851</v>
      </c>
      <c r="J46" s="1">
        <v>173887</v>
      </c>
      <c r="K46" s="1">
        <v>269676</v>
      </c>
      <c r="L46" s="9">
        <v>106126</v>
      </c>
      <c r="M46" s="1">
        <v>85574</v>
      </c>
      <c r="N46" s="1">
        <v>58235</v>
      </c>
      <c r="O46" s="1">
        <v>68069</v>
      </c>
      <c r="P46" s="1">
        <v>1184323</v>
      </c>
      <c r="Q46" s="1">
        <v>3320837</v>
      </c>
      <c r="R46" s="1">
        <v>2630839</v>
      </c>
      <c r="S46" s="46">
        <v>74838</v>
      </c>
      <c r="T46" s="84">
        <f t="shared" si="10"/>
        <v>17707612</v>
      </c>
      <c r="U46" s="43"/>
    </row>
    <row r="47" spans="1:21" ht="15">
      <c r="A47" s="105" t="s">
        <v>165</v>
      </c>
      <c r="B47" s="108" t="s">
        <v>166</v>
      </c>
      <c r="C47" s="8"/>
      <c r="D47" s="1"/>
      <c r="E47" s="1"/>
      <c r="F47" s="9"/>
      <c r="G47" s="9"/>
      <c r="H47" s="1"/>
      <c r="I47" s="1"/>
      <c r="J47" s="1"/>
      <c r="K47" s="1"/>
      <c r="L47" s="1"/>
      <c r="M47" s="1"/>
      <c r="N47" s="9"/>
      <c r="O47" s="1"/>
      <c r="P47" s="9"/>
      <c r="Q47" s="9"/>
      <c r="R47" s="1"/>
      <c r="S47" s="46"/>
      <c r="T47" s="84">
        <f>SUM(C47:R47)</f>
        <v>0</v>
      </c>
      <c r="U47" s="43"/>
    </row>
    <row r="48" spans="1:21" ht="15">
      <c r="A48" s="101"/>
      <c r="B48" s="106" t="s">
        <v>50</v>
      </c>
      <c r="C48" s="109">
        <f aca="true" t="shared" si="13" ref="C48:S48">SUM(C45:C46)</f>
        <v>93206966</v>
      </c>
      <c r="D48" s="109">
        <f t="shared" si="13"/>
        <v>4140547</v>
      </c>
      <c r="E48" s="109">
        <f t="shared" si="13"/>
        <v>276410</v>
      </c>
      <c r="F48" s="109">
        <f t="shared" si="13"/>
        <v>31285</v>
      </c>
      <c r="G48" s="109">
        <f t="shared" si="13"/>
        <v>370251</v>
      </c>
      <c r="H48" s="109">
        <f t="shared" si="13"/>
        <v>448445</v>
      </c>
      <c r="I48" s="109">
        <f t="shared" si="13"/>
        <v>206651</v>
      </c>
      <c r="J48" s="109">
        <f t="shared" si="13"/>
        <v>340856</v>
      </c>
      <c r="K48" s="109">
        <f t="shared" si="13"/>
        <v>1474586</v>
      </c>
      <c r="L48" s="109">
        <f t="shared" si="13"/>
        <v>173126</v>
      </c>
      <c r="M48" s="109">
        <f t="shared" si="13"/>
        <v>164036</v>
      </c>
      <c r="N48" s="109">
        <f t="shared" si="13"/>
        <v>120515</v>
      </c>
      <c r="O48" s="109">
        <f>SUM(O45:O46)</f>
        <v>185239</v>
      </c>
      <c r="P48" s="109">
        <f>SUM(P45:P46)</f>
        <v>6172664</v>
      </c>
      <c r="Q48" s="109">
        <f>SUM(Q45:Q46)</f>
        <v>12241900</v>
      </c>
      <c r="R48" s="109">
        <f t="shared" si="13"/>
        <v>10266676</v>
      </c>
      <c r="S48" s="109">
        <f t="shared" si="13"/>
        <v>174838</v>
      </c>
      <c r="T48" s="109">
        <f>SUM(T45:T46)</f>
        <v>129994991</v>
      </c>
      <c r="U48" s="43"/>
    </row>
    <row r="49" spans="1:20" ht="15">
      <c r="A49" s="110"/>
      <c r="B49" s="111"/>
      <c r="C49" s="112"/>
      <c r="D49" s="110"/>
      <c r="E49" s="110"/>
      <c r="F49" s="110"/>
      <c r="G49" s="110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15">
      <c r="A50" s="110"/>
      <c r="B50" s="111"/>
      <c r="C50" s="108"/>
      <c r="D50" s="110"/>
      <c r="E50" s="110"/>
      <c r="F50" s="110"/>
      <c r="G50" s="110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ht="15">
      <c r="A51" s="108"/>
      <c r="B51" s="20" t="s">
        <v>268</v>
      </c>
      <c r="C51" s="108"/>
      <c r="D51" s="108" t="s">
        <v>21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14"/>
    </row>
    <row r="52" spans="1:20" ht="15">
      <c r="A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14"/>
    </row>
    <row r="53" spans="1:20" ht="15">
      <c r="A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14"/>
    </row>
  </sheetData>
  <sheetProtection/>
  <mergeCells count="1">
    <mergeCell ref="A5:D5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0"/>
  <sheetViews>
    <sheetView zoomScale="98" zoomScaleNormal="98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4" sqref="M4"/>
    </sheetView>
  </sheetViews>
  <sheetFormatPr defaultColWidth="9.140625" defaultRowHeight="12.75"/>
  <cols>
    <col min="1" max="1" width="13.28125" style="19" customWidth="1"/>
    <col min="2" max="2" width="41.00390625" style="20" customWidth="1"/>
    <col min="3" max="3" width="12.7109375" style="19" customWidth="1"/>
    <col min="4" max="4" width="13.8515625" style="21" customWidth="1"/>
    <col min="5" max="6" width="10.00390625" style="19" customWidth="1"/>
    <col min="7" max="7" width="9.8515625" style="19" customWidth="1"/>
    <col min="8" max="8" width="10.00390625" style="19" customWidth="1"/>
    <col min="9" max="9" width="9.00390625" style="19" customWidth="1"/>
    <col min="10" max="10" width="9.140625" style="19" customWidth="1"/>
    <col min="11" max="11" width="9.7109375" style="19" customWidth="1"/>
    <col min="12" max="12" width="8.8515625" style="19" customWidth="1"/>
    <col min="13" max="13" width="9.7109375" style="19" customWidth="1"/>
    <col min="14" max="14" width="8.7109375" style="19" customWidth="1"/>
    <col min="15" max="15" width="9.57421875" style="19" customWidth="1"/>
    <col min="16" max="16" width="9.7109375" style="19" customWidth="1"/>
    <col min="17" max="17" width="10.00390625" style="19" customWidth="1"/>
    <col min="18" max="18" width="10.140625" style="19" customWidth="1"/>
    <col min="19" max="19" width="10.28125" style="19" customWidth="1"/>
    <col min="20" max="20" width="13.00390625" style="24" customWidth="1"/>
    <col min="21" max="21" width="11.28125" style="19" customWidth="1"/>
    <col min="22" max="16384" width="9.140625" style="19" customWidth="1"/>
  </cols>
  <sheetData>
    <row r="1" spans="1:20" ht="15">
      <c r="A1" s="110"/>
      <c r="B1" s="111"/>
      <c r="C1" s="108"/>
      <c r="D1" s="115"/>
      <c r="E1" s="116"/>
      <c r="F1" s="116"/>
      <c r="G1" s="116"/>
      <c r="H1" s="108"/>
      <c r="I1" s="108"/>
      <c r="J1" s="108"/>
      <c r="K1" s="108"/>
      <c r="L1" s="108"/>
      <c r="M1" s="108"/>
      <c r="N1" s="108"/>
      <c r="O1" s="108"/>
      <c r="P1" s="108"/>
      <c r="Q1" s="108"/>
      <c r="S1" s="117"/>
      <c r="T1" s="117" t="s">
        <v>51</v>
      </c>
    </row>
    <row r="2" spans="1:20" ht="15">
      <c r="A2" s="110"/>
      <c r="B2" s="111"/>
      <c r="C2" s="108"/>
      <c r="D2" s="108"/>
      <c r="E2" s="118"/>
      <c r="F2" s="118"/>
      <c r="G2" s="11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117"/>
      <c r="T2" s="117" t="s">
        <v>391</v>
      </c>
    </row>
    <row r="3" spans="1:20" ht="15">
      <c r="A3" s="119"/>
      <c r="B3" s="74"/>
      <c r="C3" s="108"/>
      <c r="D3" s="108"/>
      <c r="E3" s="118"/>
      <c r="F3" s="118"/>
      <c r="G3" s="118"/>
      <c r="H3" s="108"/>
      <c r="I3" s="108"/>
      <c r="J3" s="108"/>
      <c r="K3" s="108"/>
      <c r="L3" s="108"/>
      <c r="M3" s="108"/>
      <c r="N3" s="108"/>
      <c r="O3" s="108"/>
      <c r="P3" s="108"/>
      <c r="Q3" s="108"/>
      <c r="S3" s="117"/>
      <c r="T3" s="117" t="s">
        <v>719</v>
      </c>
    </row>
    <row r="4" spans="1:20" ht="15">
      <c r="A4" s="119"/>
      <c r="B4" s="74"/>
      <c r="C4" s="108"/>
      <c r="D4" s="108"/>
      <c r="E4" s="118"/>
      <c r="F4" s="118"/>
      <c r="G4" s="11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14"/>
    </row>
    <row r="5" spans="1:20" ht="39.75" customHeight="1" thickBot="1">
      <c r="A5" s="306" t="s">
        <v>492</v>
      </c>
      <c r="B5" s="306"/>
      <c r="C5" s="306"/>
      <c r="D5" s="306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14"/>
    </row>
    <row r="6" spans="1:21" ht="135.75" thickBot="1">
      <c r="A6" s="120" t="s">
        <v>10</v>
      </c>
      <c r="B6" s="121" t="s">
        <v>127</v>
      </c>
      <c r="C6" s="30" t="s">
        <v>479</v>
      </c>
      <c r="D6" s="122" t="s">
        <v>480</v>
      </c>
      <c r="E6" s="32" t="s">
        <v>680</v>
      </c>
      <c r="F6" s="32" t="s">
        <v>681</v>
      </c>
      <c r="G6" s="30" t="s">
        <v>481</v>
      </c>
      <c r="H6" s="123" t="s">
        <v>482</v>
      </c>
      <c r="I6" s="123" t="s">
        <v>483</v>
      </c>
      <c r="J6" s="123" t="s">
        <v>484</v>
      </c>
      <c r="K6" s="123" t="s">
        <v>485</v>
      </c>
      <c r="L6" s="123" t="s">
        <v>486</v>
      </c>
      <c r="M6" s="123" t="s">
        <v>487</v>
      </c>
      <c r="N6" s="123" t="s">
        <v>488</v>
      </c>
      <c r="O6" s="124" t="s">
        <v>489</v>
      </c>
      <c r="P6" s="34" t="s">
        <v>660</v>
      </c>
      <c r="Q6" s="34" t="s">
        <v>661</v>
      </c>
      <c r="R6" s="33" t="s">
        <v>614</v>
      </c>
      <c r="S6" s="35" t="s">
        <v>639</v>
      </c>
      <c r="T6" s="125" t="s">
        <v>490</v>
      </c>
      <c r="U6" s="37"/>
    </row>
    <row r="7" spans="1:21" ht="15.75" thickBot="1">
      <c r="A7" s="126" t="s">
        <v>52</v>
      </c>
      <c r="B7" s="39" t="s">
        <v>53</v>
      </c>
      <c r="C7" s="41">
        <f aca="true" t="shared" si="0" ref="C7:Q7">C8+C9+C10+C11+C13+C14+C19</f>
        <v>5476245</v>
      </c>
      <c r="D7" s="41">
        <f t="shared" si="0"/>
        <v>0</v>
      </c>
      <c r="E7" s="41">
        <f t="shared" si="0"/>
        <v>0</v>
      </c>
      <c r="F7" s="41"/>
      <c r="G7" s="41">
        <f t="shared" si="0"/>
        <v>0</v>
      </c>
      <c r="H7" s="41">
        <f t="shared" si="0"/>
        <v>134640</v>
      </c>
      <c r="I7" s="41">
        <f t="shared" si="0"/>
        <v>71441</v>
      </c>
      <c r="J7" s="41">
        <f t="shared" si="0"/>
        <v>119683</v>
      </c>
      <c r="K7" s="41">
        <f t="shared" si="0"/>
        <v>153789</v>
      </c>
      <c r="L7" s="41">
        <f t="shared" si="0"/>
        <v>111380</v>
      </c>
      <c r="M7" s="41">
        <f t="shared" si="0"/>
        <v>62606</v>
      </c>
      <c r="N7" s="41">
        <f t="shared" si="0"/>
        <v>67076</v>
      </c>
      <c r="O7" s="41">
        <f t="shared" si="0"/>
        <v>113870</v>
      </c>
      <c r="P7" s="41">
        <f t="shared" si="0"/>
        <v>622327</v>
      </c>
      <c r="Q7" s="41">
        <f t="shared" si="0"/>
        <v>1003235</v>
      </c>
      <c r="R7" s="41">
        <f>R8+R9+R10+R11+R13+R14+R19</f>
        <v>975419</v>
      </c>
      <c r="S7" s="41">
        <f>S8+S9+S10+S11+S13+S14+S19</f>
        <v>0</v>
      </c>
      <c r="T7" s="42">
        <f aca="true" t="shared" si="1" ref="T7:T18">SUM(C7:S7)</f>
        <v>8911711</v>
      </c>
      <c r="U7" s="43"/>
    </row>
    <row r="8" spans="1:21" ht="29.25">
      <c r="A8" s="127" t="s">
        <v>185</v>
      </c>
      <c r="B8" s="128" t="s">
        <v>186</v>
      </c>
      <c r="C8" s="129">
        <f>2615955+5527+500+1055565+281331</f>
        <v>3958878</v>
      </c>
      <c r="D8" s="46"/>
      <c r="E8" s="46"/>
      <c r="F8" s="46"/>
      <c r="G8" s="7"/>
      <c r="H8" s="68">
        <f>132455+2185</f>
        <v>134640</v>
      </c>
      <c r="I8" s="130">
        <v>71441</v>
      </c>
      <c r="J8" s="68">
        <v>117603</v>
      </c>
      <c r="K8" s="130">
        <v>153789</v>
      </c>
      <c r="L8" s="68">
        <v>111380</v>
      </c>
      <c r="M8" s="68">
        <v>62606</v>
      </c>
      <c r="N8" s="68">
        <v>67076</v>
      </c>
      <c r="O8" s="131">
        <v>113870</v>
      </c>
      <c r="P8" s="68">
        <v>535277</v>
      </c>
      <c r="Q8" s="68">
        <f>758141-38</f>
        <v>758103</v>
      </c>
      <c r="R8" s="68">
        <v>739706</v>
      </c>
      <c r="S8" s="131"/>
      <c r="T8" s="132">
        <f t="shared" si="1"/>
        <v>6824369</v>
      </c>
      <c r="U8" s="43"/>
    </row>
    <row r="9" spans="1:21" ht="29.25">
      <c r="A9" s="133" t="s">
        <v>656</v>
      </c>
      <c r="B9" s="128" t="s">
        <v>568</v>
      </c>
      <c r="C9" s="129"/>
      <c r="D9" s="11"/>
      <c r="E9" s="46"/>
      <c r="F9" s="11"/>
      <c r="G9" s="11"/>
      <c r="H9" s="84"/>
      <c r="I9" s="134"/>
      <c r="J9" s="84"/>
      <c r="K9" s="131"/>
      <c r="L9" s="129"/>
      <c r="M9" s="129"/>
      <c r="N9" s="84"/>
      <c r="O9" s="131"/>
      <c r="P9" s="84">
        <v>53538</v>
      </c>
      <c r="Q9" s="84">
        <v>41092</v>
      </c>
      <c r="R9" s="131"/>
      <c r="S9" s="14"/>
      <c r="T9" s="135">
        <f t="shared" si="1"/>
        <v>94630</v>
      </c>
      <c r="U9" s="43"/>
    </row>
    <row r="10" spans="1:21" ht="29.25">
      <c r="A10" s="133" t="s">
        <v>355</v>
      </c>
      <c r="B10" s="128" t="s">
        <v>474</v>
      </c>
      <c r="C10" s="129">
        <v>150893</v>
      </c>
      <c r="D10" s="11"/>
      <c r="E10" s="46"/>
      <c r="F10" s="11"/>
      <c r="G10" s="11"/>
      <c r="H10" s="84"/>
      <c r="I10" s="84"/>
      <c r="J10" s="84"/>
      <c r="K10" s="131"/>
      <c r="L10" s="129"/>
      <c r="M10" s="129"/>
      <c r="N10" s="87"/>
      <c r="O10" s="131"/>
      <c r="P10" s="84"/>
      <c r="Q10" s="84">
        <v>25179</v>
      </c>
      <c r="R10" s="131">
        <v>25569</v>
      </c>
      <c r="S10" s="14"/>
      <c r="T10" s="135">
        <f t="shared" si="1"/>
        <v>201641</v>
      </c>
      <c r="U10" s="43"/>
    </row>
    <row r="11" spans="1:21" ht="15">
      <c r="A11" s="136" t="s">
        <v>54</v>
      </c>
      <c r="B11" s="86" t="s">
        <v>55</v>
      </c>
      <c r="C11" s="14">
        <f>SUM(C12:C12)</f>
        <v>287251</v>
      </c>
      <c r="D11" s="14">
        <f>SUM(D12:D12)</f>
        <v>0</v>
      </c>
      <c r="E11" s="87"/>
      <c r="F11" s="14"/>
      <c r="G11" s="14"/>
      <c r="H11" s="87">
        <f aca="true" t="shared" si="2" ref="H11:S11">SUM(H12:H12)</f>
        <v>0</v>
      </c>
      <c r="I11" s="87">
        <f t="shared" si="2"/>
        <v>0</v>
      </c>
      <c r="J11" s="87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8512</v>
      </c>
      <c r="Q11" s="14">
        <f t="shared" si="2"/>
        <v>19539</v>
      </c>
      <c r="R11" s="14">
        <f t="shared" si="2"/>
        <v>18531</v>
      </c>
      <c r="S11" s="14">
        <f t="shared" si="2"/>
        <v>0</v>
      </c>
      <c r="T11" s="135">
        <f t="shared" si="1"/>
        <v>333833</v>
      </c>
      <c r="U11" s="43"/>
    </row>
    <row r="12" spans="1:21" ht="30">
      <c r="A12" s="48" t="s">
        <v>56</v>
      </c>
      <c r="B12" s="49" t="s">
        <v>57</v>
      </c>
      <c r="C12" s="9">
        <f>232220+55031</f>
        <v>287251</v>
      </c>
      <c r="D12" s="1"/>
      <c r="E12" s="1"/>
      <c r="F12" s="9"/>
      <c r="G12" s="9"/>
      <c r="H12" s="1"/>
      <c r="I12" s="1"/>
      <c r="J12" s="1"/>
      <c r="K12" s="1"/>
      <c r="L12" s="1"/>
      <c r="M12" s="1"/>
      <c r="N12" s="1"/>
      <c r="O12" s="1"/>
      <c r="P12" s="1">
        <v>8512</v>
      </c>
      <c r="Q12" s="1">
        <v>19539</v>
      </c>
      <c r="R12" s="9">
        <v>18531</v>
      </c>
      <c r="S12" s="9"/>
      <c r="T12" s="135">
        <f t="shared" si="1"/>
        <v>333833</v>
      </c>
      <c r="U12" s="43"/>
    </row>
    <row r="13" spans="1:21" ht="29.25">
      <c r="A13" s="137" t="s">
        <v>187</v>
      </c>
      <c r="B13" s="138" t="s">
        <v>188</v>
      </c>
      <c r="C13" s="9">
        <f>2034+4562</f>
        <v>6596</v>
      </c>
      <c r="D13" s="9"/>
      <c r="E13" s="1"/>
      <c r="F13" s="9"/>
      <c r="G13" s="9"/>
      <c r="H13" s="1"/>
      <c r="I13" s="1"/>
      <c r="J13" s="1"/>
      <c r="K13" s="9"/>
      <c r="L13" s="9"/>
      <c r="M13" s="9"/>
      <c r="N13" s="9"/>
      <c r="O13" s="9"/>
      <c r="P13" s="9"/>
      <c r="Q13" s="9"/>
      <c r="R13" s="9"/>
      <c r="S13" s="9"/>
      <c r="T13" s="135">
        <f t="shared" si="1"/>
        <v>6596</v>
      </c>
      <c r="U13" s="43"/>
    </row>
    <row r="14" spans="1:21" ht="29.25">
      <c r="A14" s="136" t="s">
        <v>58</v>
      </c>
      <c r="B14" s="138" t="s">
        <v>59</v>
      </c>
      <c r="C14" s="14">
        <f>SUM(C15:C18)</f>
        <v>1063940</v>
      </c>
      <c r="D14" s="14">
        <f aca="true" t="shared" si="3" ref="D14:S14">SUM(D15:D18)</f>
        <v>0</v>
      </c>
      <c r="E14" s="14">
        <f t="shared" si="3"/>
        <v>0</v>
      </c>
      <c r="F14" s="14"/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14">
        <f t="shared" si="3"/>
        <v>0</v>
      </c>
      <c r="Q14" s="14">
        <f t="shared" si="3"/>
        <v>140578</v>
      </c>
      <c r="R14" s="14">
        <f t="shared" si="3"/>
        <v>175098</v>
      </c>
      <c r="S14" s="14">
        <f t="shared" si="3"/>
        <v>0</v>
      </c>
      <c r="T14" s="135">
        <f t="shared" si="1"/>
        <v>1379616</v>
      </c>
      <c r="U14" s="43"/>
    </row>
    <row r="15" spans="1:21" ht="30">
      <c r="A15" s="139" t="s">
        <v>294</v>
      </c>
      <c r="B15" s="49" t="s">
        <v>60</v>
      </c>
      <c r="C15" s="9">
        <f>600000+279369</f>
        <v>879369</v>
      </c>
      <c r="D15" s="1"/>
      <c r="E15" s="1"/>
      <c r="F15" s="9"/>
      <c r="G15" s="9"/>
      <c r="H15" s="1"/>
      <c r="I15" s="1"/>
      <c r="J15" s="1"/>
      <c r="K15" s="1"/>
      <c r="L15" s="1"/>
      <c r="M15" s="1"/>
      <c r="N15" s="1"/>
      <c r="O15" s="9"/>
      <c r="P15" s="9"/>
      <c r="Q15" s="9">
        <f>228800-88222</f>
        <v>140578</v>
      </c>
      <c r="R15" s="9"/>
      <c r="S15" s="9"/>
      <c r="T15" s="135">
        <f t="shared" si="1"/>
        <v>1019947</v>
      </c>
      <c r="U15" s="43"/>
    </row>
    <row r="16" spans="1:21" ht="30">
      <c r="A16" s="139" t="s">
        <v>295</v>
      </c>
      <c r="B16" s="49" t="s">
        <v>266</v>
      </c>
      <c r="C16" s="9">
        <f>145506-60935</f>
        <v>84571</v>
      </c>
      <c r="D16" s="1"/>
      <c r="E16" s="1"/>
      <c r="F16" s="9"/>
      <c r="G16" s="9"/>
      <c r="H16" s="1"/>
      <c r="I16" s="1">
        <f>17331-17331</f>
        <v>0</v>
      </c>
      <c r="J16" s="1"/>
      <c r="K16" s="1"/>
      <c r="L16" s="1"/>
      <c r="M16" s="1"/>
      <c r="N16" s="1"/>
      <c r="O16" s="9">
        <f>12000-12000</f>
        <v>0</v>
      </c>
      <c r="P16" s="9"/>
      <c r="Q16" s="9"/>
      <c r="R16" s="9"/>
      <c r="S16" s="9"/>
      <c r="T16" s="135">
        <f t="shared" si="1"/>
        <v>84571</v>
      </c>
      <c r="U16" s="43"/>
    </row>
    <row r="17" spans="1:21" ht="45">
      <c r="A17" s="139" t="s">
        <v>296</v>
      </c>
      <c r="B17" s="61" t="s">
        <v>356</v>
      </c>
      <c r="C17" s="62">
        <v>100000</v>
      </c>
      <c r="D17" s="6"/>
      <c r="E17" s="6"/>
      <c r="F17" s="62"/>
      <c r="G17" s="62"/>
      <c r="H17" s="6"/>
      <c r="I17" s="6"/>
      <c r="J17" s="6"/>
      <c r="K17" s="6"/>
      <c r="L17" s="6"/>
      <c r="M17" s="6"/>
      <c r="N17" s="6"/>
      <c r="O17" s="62"/>
      <c r="P17" s="62"/>
      <c r="Q17" s="62"/>
      <c r="R17" s="62"/>
      <c r="S17" s="9"/>
      <c r="T17" s="135">
        <f t="shared" si="1"/>
        <v>100000</v>
      </c>
      <c r="U17" s="43"/>
    </row>
    <row r="18" spans="1:21" ht="30">
      <c r="A18" s="140" t="s">
        <v>58</v>
      </c>
      <c r="B18" s="61" t="s">
        <v>619</v>
      </c>
      <c r="C18" s="62"/>
      <c r="D18" s="6"/>
      <c r="E18" s="6"/>
      <c r="F18" s="62"/>
      <c r="G18" s="62"/>
      <c r="H18" s="6"/>
      <c r="I18" s="6"/>
      <c r="J18" s="6"/>
      <c r="K18" s="6"/>
      <c r="L18" s="6"/>
      <c r="M18" s="6"/>
      <c r="N18" s="6"/>
      <c r="O18" s="62"/>
      <c r="P18" s="62"/>
      <c r="Q18" s="62"/>
      <c r="R18" s="1">
        <v>175098</v>
      </c>
      <c r="S18" s="52"/>
      <c r="T18" s="135">
        <f t="shared" si="1"/>
        <v>175098</v>
      </c>
      <c r="U18" s="43"/>
    </row>
    <row r="19" spans="1:21" s="24" customFormat="1" ht="15.75" thickBot="1">
      <c r="A19" s="141" t="s">
        <v>61</v>
      </c>
      <c r="B19" s="142" t="s">
        <v>189</v>
      </c>
      <c r="C19" s="10">
        <f>600000-547645-40041-3627</f>
        <v>8687</v>
      </c>
      <c r="D19" s="143"/>
      <c r="E19" s="143"/>
      <c r="F19" s="10"/>
      <c r="G19" s="10"/>
      <c r="H19" s="144"/>
      <c r="I19" s="143"/>
      <c r="J19" s="143">
        <v>2080</v>
      </c>
      <c r="K19" s="143">
        <f>5551-5551</f>
        <v>0</v>
      </c>
      <c r="L19" s="143"/>
      <c r="M19" s="143"/>
      <c r="N19" s="143"/>
      <c r="O19" s="10"/>
      <c r="P19" s="10">
        <v>25000</v>
      </c>
      <c r="Q19" s="10">
        <v>18744</v>
      </c>
      <c r="R19" s="144">
        <v>16515</v>
      </c>
      <c r="S19" s="113"/>
      <c r="T19" s="145">
        <f>SUM(C19:S19)</f>
        <v>71026</v>
      </c>
      <c r="U19" s="43"/>
    </row>
    <row r="20" spans="1:21" ht="15.75" thickBot="1">
      <c r="A20" s="76" t="s">
        <v>62</v>
      </c>
      <c r="B20" s="39" t="s">
        <v>63</v>
      </c>
      <c r="C20" s="41">
        <f>SUM(C21:C22,C25:C26)</f>
        <v>880595</v>
      </c>
      <c r="D20" s="41">
        <f aca="true" t="shared" si="4" ref="D20:N20">SUM(D21:D22,D25:D26)</f>
        <v>0</v>
      </c>
      <c r="E20" s="41">
        <f t="shared" si="4"/>
        <v>0</v>
      </c>
      <c r="F20" s="41"/>
      <c r="G20" s="41">
        <f t="shared" si="4"/>
        <v>0</v>
      </c>
      <c r="H20" s="41">
        <f t="shared" si="4"/>
        <v>5741</v>
      </c>
      <c r="I20" s="41">
        <f t="shared" si="4"/>
        <v>0</v>
      </c>
      <c r="J20" s="41">
        <f t="shared" si="4"/>
        <v>0</v>
      </c>
      <c r="K20" s="41">
        <f t="shared" si="4"/>
        <v>5200</v>
      </c>
      <c r="L20" s="41">
        <f t="shared" si="4"/>
        <v>0</v>
      </c>
      <c r="M20" s="41">
        <f t="shared" si="4"/>
        <v>0</v>
      </c>
      <c r="N20" s="41">
        <f t="shared" si="4"/>
        <v>0</v>
      </c>
      <c r="O20" s="41">
        <f>SUM(O21:O22,O25:O26)</f>
        <v>700</v>
      </c>
      <c r="P20" s="41">
        <f>SUM(P21:P22,P25:P26)</f>
        <v>73053</v>
      </c>
      <c r="Q20" s="41">
        <f>SUM(Q21:Q22,Q25:Q26)</f>
        <v>204313</v>
      </c>
      <c r="R20" s="40">
        <f>SUM(R21:R22,R24,R25:R26)</f>
        <v>284871</v>
      </c>
      <c r="S20" s="40">
        <f>SUM(S21:S22,S24,S25:S26)</f>
        <v>0</v>
      </c>
      <c r="T20" s="42">
        <f>SUM(C20:S20)</f>
        <v>1454473</v>
      </c>
      <c r="U20" s="43"/>
    </row>
    <row r="21" spans="1:21" ht="15">
      <c r="A21" s="127" t="s">
        <v>190</v>
      </c>
      <c r="B21" s="128" t="s">
        <v>19</v>
      </c>
      <c r="C21" s="11">
        <v>562875</v>
      </c>
      <c r="D21" s="46"/>
      <c r="E21" s="46"/>
      <c r="F21" s="11"/>
      <c r="G21" s="11"/>
      <c r="H21" s="46"/>
      <c r="I21" s="46"/>
      <c r="J21" s="46"/>
      <c r="K21" s="46"/>
      <c r="L21" s="46"/>
      <c r="M21" s="46"/>
      <c r="N21" s="46"/>
      <c r="O21" s="11"/>
      <c r="P21" s="11">
        <v>73053</v>
      </c>
      <c r="Q21" s="11">
        <v>204313</v>
      </c>
      <c r="R21" s="7">
        <v>270918</v>
      </c>
      <c r="S21" s="72"/>
      <c r="T21" s="132">
        <f aca="true" t="shared" si="5" ref="T21:T78">SUM(C21:S21)</f>
        <v>1111159</v>
      </c>
      <c r="U21" s="43"/>
    </row>
    <row r="22" spans="1:21" ht="29.25">
      <c r="A22" s="146" t="s">
        <v>258</v>
      </c>
      <c r="B22" s="147" t="s">
        <v>260</v>
      </c>
      <c r="C22" s="14">
        <f aca="true" t="shared" si="6" ref="C22:S22">SUM(C23:C23)</f>
        <v>204130</v>
      </c>
      <c r="D22" s="14">
        <f t="shared" si="6"/>
        <v>0</v>
      </c>
      <c r="E22" s="14">
        <f t="shared" si="6"/>
        <v>0</v>
      </c>
      <c r="F22" s="14"/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6"/>
        <v>0</v>
      </c>
      <c r="T22" s="135">
        <f t="shared" si="5"/>
        <v>204130</v>
      </c>
      <c r="U22" s="43"/>
    </row>
    <row r="23" spans="1:21" ht="30">
      <c r="A23" s="148" t="s">
        <v>297</v>
      </c>
      <c r="B23" s="149" t="s">
        <v>468</v>
      </c>
      <c r="C23" s="9">
        <v>204130</v>
      </c>
      <c r="D23" s="1"/>
      <c r="E23" s="1"/>
      <c r="F23" s="9"/>
      <c r="G23" s="9"/>
      <c r="H23" s="1"/>
      <c r="I23" s="1"/>
      <c r="J23" s="1"/>
      <c r="K23" s="1"/>
      <c r="L23" s="1"/>
      <c r="M23" s="1"/>
      <c r="N23" s="1"/>
      <c r="O23" s="9"/>
      <c r="P23" s="1"/>
      <c r="Q23" s="9"/>
      <c r="R23" s="1"/>
      <c r="S23" s="9"/>
      <c r="T23" s="135">
        <f t="shared" si="5"/>
        <v>204130</v>
      </c>
      <c r="U23" s="43"/>
    </row>
    <row r="24" spans="1:21" ht="15">
      <c r="A24" s="150" t="s">
        <v>646</v>
      </c>
      <c r="B24" s="149" t="s">
        <v>647</v>
      </c>
      <c r="C24" s="12"/>
      <c r="D24" s="75"/>
      <c r="E24" s="75"/>
      <c r="F24" s="12"/>
      <c r="G24" s="12"/>
      <c r="H24" s="75"/>
      <c r="I24" s="75"/>
      <c r="J24" s="75"/>
      <c r="K24" s="75"/>
      <c r="L24" s="75"/>
      <c r="M24" s="75"/>
      <c r="N24" s="75"/>
      <c r="O24" s="12"/>
      <c r="P24" s="75"/>
      <c r="Q24" s="12"/>
      <c r="R24" s="12">
        <v>13953</v>
      </c>
      <c r="S24" s="9"/>
      <c r="T24" s="135">
        <f t="shared" si="5"/>
        <v>13953</v>
      </c>
      <c r="U24" s="43"/>
    </row>
    <row r="25" spans="1:21" s="24" customFormat="1" ht="29.25">
      <c r="A25" s="151" t="s">
        <v>64</v>
      </c>
      <c r="B25" s="86" t="s">
        <v>191</v>
      </c>
      <c r="C25" s="87">
        <v>33030</v>
      </c>
      <c r="D25" s="87"/>
      <c r="E25" s="87"/>
      <c r="F25" s="14"/>
      <c r="G25" s="14"/>
      <c r="H25" s="87">
        <v>5741</v>
      </c>
      <c r="I25" s="87"/>
      <c r="J25" s="87"/>
      <c r="K25" s="87">
        <v>5200</v>
      </c>
      <c r="L25" s="87"/>
      <c r="M25" s="87"/>
      <c r="N25" s="87"/>
      <c r="O25" s="14">
        <v>700</v>
      </c>
      <c r="P25" s="87"/>
      <c r="Q25" s="14"/>
      <c r="R25" s="14"/>
      <c r="S25" s="14"/>
      <c r="T25" s="135">
        <f t="shared" si="5"/>
        <v>44671</v>
      </c>
      <c r="U25" s="43"/>
    </row>
    <row r="26" spans="1:21" s="24" customFormat="1" ht="15.75" thickBot="1">
      <c r="A26" s="152" t="s">
        <v>332</v>
      </c>
      <c r="B26" s="153" t="s">
        <v>333</v>
      </c>
      <c r="C26" s="154">
        <f>60000+20560</f>
        <v>80560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44"/>
      <c r="S26" s="113"/>
      <c r="T26" s="145">
        <f t="shared" si="5"/>
        <v>80560</v>
      </c>
      <c r="U26" s="43"/>
    </row>
    <row r="27" spans="1:21" ht="15.75" thickBot="1">
      <c r="A27" s="76" t="s">
        <v>2</v>
      </c>
      <c r="B27" s="39" t="s">
        <v>65</v>
      </c>
      <c r="C27" s="40">
        <f>SUM(C28,C37,C40:C42,C75,C77,C78,C79,C80,C81,)</f>
        <v>9626023</v>
      </c>
      <c r="D27" s="40">
        <f>SUM(D28,D37,D40:D42,D75,D77,D78,D79,D80,D81,)</f>
        <v>170339</v>
      </c>
      <c r="E27" s="40">
        <f>SUM(E28,E37,E40:E42,E75,E77,E78,E79,E80,E81,)</f>
        <v>0</v>
      </c>
      <c r="F27" s="40"/>
      <c r="G27" s="40">
        <f aca="true" t="shared" si="7" ref="G27:S27">SUM(G28,G37,G40:G42,G75,G77,G78,G79,G80,G81,)</f>
        <v>0</v>
      </c>
      <c r="H27" s="40">
        <f t="shared" si="7"/>
        <v>158828</v>
      </c>
      <c r="I27" s="40">
        <f t="shared" si="7"/>
        <v>49695</v>
      </c>
      <c r="J27" s="40">
        <f t="shared" si="7"/>
        <v>65608</v>
      </c>
      <c r="K27" s="40">
        <f t="shared" si="7"/>
        <v>276793</v>
      </c>
      <c r="L27" s="40">
        <f t="shared" si="7"/>
        <v>38178</v>
      </c>
      <c r="M27" s="40">
        <f t="shared" si="7"/>
        <v>50439</v>
      </c>
      <c r="N27" s="40">
        <f t="shared" si="7"/>
        <v>32238</v>
      </c>
      <c r="O27" s="40">
        <f t="shared" si="7"/>
        <v>47860</v>
      </c>
      <c r="P27" s="40">
        <f t="shared" si="7"/>
        <v>29391</v>
      </c>
      <c r="Q27" s="40">
        <f t="shared" si="7"/>
        <v>3455572</v>
      </c>
      <c r="R27" s="40">
        <f t="shared" si="7"/>
        <v>1942111</v>
      </c>
      <c r="S27" s="40">
        <f t="shared" si="7"/>
        <v>324838</v>
      </c>
      <c r="T27" s="42">
        <f>SUM(C27:S27)</f>
        <v>16267913</v>
      </c>
      <c r="U27" s="43"/>
    </row>
    <row r="28" spans="1:21" ht="15">
      <c r="A28" s="127" t="s">
        <v>66</v>
      </c>
      <c r="B28" s="84" t="s">
        <v>67</v>
      </c>
      <c r="C28" s="129">
        <f>SUM(C29:C33)</f>
        <v>266075</v>
      </c>
      <c r="D28" s="129">
        <f>SUM(D29:D33)</f>
        <v>0</v>
      </c>
      <c r="E28" s="129">
        <f>SUM(E29:E33)</f>
        <v>0</v>
      </c>
      <c r="F28" s="129"/>
      <c r="G28" s="129">
        <f aca="true" t="shared" si="8" ref="G28:Q28">SUM(G29:G33)</f>
        <v>0</v>
      </c>
      <c r="H28" s="84">
        <f t="shared" si="8"/>
        <v>0</v>
      </c>
      <c r="I28" s="129">
        <f t="shared" si="8"/>
        <v>0</v>
      </c>
      <c r="J28" s="129">
        <f t="shared" si="8"/>
        <v>0</v>
      </c>
      <c r="K28" s="129">
        <f t="shared" si="8"/>
        <v>0</v>
      </c>
      <c r="L28" s="129">
        <f t="shared" si="8"/>
        <v>0</v>
      </c>
      <c r="M28" s="129">
        <f t="shared" si="8"/>
        <v>0</v>
      </c>
      <c r="N28" s="129">
        <f t="shared" si="8"/>
        <v>0</v>
      </c>
      <c r="O28" s="129">
        <f t="shared" si="8"/>
        <v>0</v>
      </c>
      <c r="P28" s="129">
        <f t="shared" si="8"/>
        <v>0</v>
      </c>
      <c r="Q28" s="129">
        <f t="shared" si="8"/>
        <v>6928</v>
      </c>
      <c r="R28" s="84">
        <f>SUM(R29:R36)</f>
        <v>204584</v>
      </c>
      <c r="S28" s="84">
        <f>SUM(S29:S33)</f>
        <v>0</v>
      </c>
      <c r="T28" s="132">
        <f>SUM(C28:S28)</f>
        <v>477587</v>
      </c>
      <c r="U28" s="43"/>
    </row>
    <row r="29" spans="1:21" ht="15">
      <c r="A29" s="155" t="s">
        <v>192</v>
      </c>
      <c r="B29" s="46" t="s">
        <v>193</v>
      </c>
      <c r="C29" s="11">
        <f>10000+11000-3393+3627</f>
        <v>21234</v>
      </c>
      <c r="D29" s="46"/>
      <c r="E29" s="46"/>
      <c r="F29" s="11"/>
      <c r="G29" s="11"/>
      <c r="H29" s="46"/>
      <c r="I29" s="46"/>
      <c r="J29" s="46"/>
      <c r="K29" s="46"/>
      <c r="L29" s="46"/>
      <c r="M29" s="46"/>
      <c r="N29" s="46"/>
      <c r="O29" s="11"/>
      <c r="P29" s="11"/>
      <c r="Q29" s="11"/>
      <c r="R29" s="11"/>
      <c r="S29" s="9"/>
      <c r="T29" s="135">
        <f t="shared" si="5"/>
        <v>21234</v>
      </c>
      <c r="U29" s="43"/>
    </row>
    <row r="30" spans="1:21" ht="30">
      <c r="A30" s="155" t="s">
        <v>298</v>
      </c>
      <c r="B30" s="17" t="s">
        <v>357</v>
      </c>
      <c r="C30" s="11">
        <f>80694+6803</f>
        <v>87497</v>
      </c>
      <c r="D30" s="46"/>
      <c r="E30" s="46"/>
      <c r="F30" s="11"/>
      <c r="G30" s="11"/>
      <c r="H30" s="46"/>
      <c r="I30" s="46"/>
      <c r="J30" s="46"/>
      <c r="K30" s="46"/>
      <c r="L30" s="46"/>
      <c r="M30" s="46"/>
      <c r="N30" s="46"/>
      <c r="O30" s="11"/>
      <c r="P30" s="11"/>
      <c r="Q30" s="11">
        <v>6928</v>
      </c>
      <c r="R30" s="11"/>
      <c r="S30" s="9"/>
      <c r="T30" s="135">
        <f t="shared" si="5"/>
        <v>94425</v>
      </c>
      <c r="U30" s="43"/>
    </row>
    <row r="31" spans="1:21" ht="15">
      <c r="A31" s="155" t="s">
        <v>299</v>
      </c>
      <c r="B31" s="156" t="s">
        <v>285</v>
      </c>
      <c r="C31" s="11">
        <f>5000</f>
        <v>5000</v>
      </c>
      <c r="D31" s="46"/>
      <c r="E31" s="46"/>
      <c r="F31" s="11"/>
      <c r="G31" s="11"/>
      <c r="H31" s="46"/>
      <c r="I31" s="46"/>
      <c r="J31" s="46"/>
      <c r="K31" s="46"/>
      <c r="L31" s="46"/>
      <c r="M31" s="46"/>
      <c r="N31" s="46"/>
      <c r="O31" s="11"/>
      <c r="P31" s="11"/>
      <c r="Q31" s="11"/>
      <c r="R31" s="11">
        <v>5000</v>
      </c>
      <c r="S31" s="9"/>
      <c r="T31" s="135">
        <f t="shared" si="5"/>
        <v>10000</v>
      </c>
      <c r="U31" s="43"/>
    </row>
    <row r="32" spans="1:21" ht="30">
      <c r="A32" s="157" t="s">
        <v>274</v>
      </c>
      <c r="B32" s="158" t="s">
        <v>325</v>
      </c>
      <c r="C32" s="11">
        <v>19200</v>
      </c>
      <c r="D32" s="46"/>
      <c r="E32" s="46"/>
      <c r="F32" s="11"/>
      <c r="G32" s="11"/>
      <c r="H32" s="46"/>
      <c r="I32" s="46"/>
      <c r="J32" s="46"/>
      <c r="K32" s="46"/>
      <c r="L32" s="46"/>
      <c r="M32" s="46"/>
      <c r="N32" s="46"/>
      <c r="O32" s="11"/>
      <c r="P32" s="11"/>
      <c r="Q32" s="11"/>
      <c r="R32" s="11"/>
      <c r="S32" s="9"/>
      <c r="T32" s="135">
        <f t="shared" si="5"/>
        <v>19200</v>
      </c>
      <c r="U32" s="43"/>
    </row>
    <row r="33" spans="1:21" ht="15">
      <c r="A33" s="157" t="s">
        <v>334</v>
      </c>
      <c r="B33" s="158" t="s">
        <v>335</v>
      </c>
      <c r="C33" s="11">
        <f>110000+17723+5421</f>
        <v>133144</v>
      </c>
      <c r="D33" s="46"/>
      <c r="E33" s="46"/>
      <c r="F33" s="11"/>
      <c r="G33" s="11"/>
      <c r="H33" s="46"/>
      <c r="I33" s="46"/>
      <c r="J33" s="46"/>
      <c r="K33" s="46"/>
      <c r="L33" s="46"/>
      <c r="M33" s="46"/>
      <c r="N33" s="46"/>
      <c r="O33" s="11"/>
      <c r="P33" s="11"/>
      <c r="Q33" s="11"/>
      <c r="R33" s="11"/>
      <c r="S33" s="9"/>
      <c r="T33" s="135">
        <f t="shared" si="5"/>
        <v>133144</v>
      </c>
      <c r="U33" s="43"/>
    </row>
    <row r="34" spans="1:21" ht="15">
      <c r="A34" s="157" t="s">
        <v>66</v>
      </c>
      <c r="B34" s="159" t="s">
        <v>620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v>114575</v>
      </c>
      <c r="S34" s="9"/>
      <c r="T34" s="135">
        <f t="shared" si="5"/>
        <v>114575</v>
      </c>
      <c r="U34" s="43"/>
    </row>
    <row r="35" spans="1:21" ht="15">
      <c r="A35" s="157" t="s">
        <v>66</v>
      </c>
      <c r="B35" s="159" t="s">
        <v>621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v>59113</v>
      </c>
      <c r="S35" s="9"/>
      <c r="T35" s="135">
        <f t="shared" si="5"/>
        <v>59113</v>
      </c>
      <c r="U35" s="43"/>
    </row>
    <row r="36" spans="1:21" ht="30">
      <c r="A36" s="157" t="s">
        <v>66</v>
      </c>
      <c r="B36" s="159" t="s">
        <v>309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v>25896</v>
      </c>
      <c r="S36" s="9"/>
      <c r="T36" s="135">
        <f t="shared" si="5"/>
        <v>25896</v>
      </c>
      <c r="U36" s="43"/>
    </row>
    <row r="37" spans="1:21" ht="15">
      <c r="A37" s="136" t="s">
        <v>68</v>
      </c>
      <c r="B37" s="86" t="s">
        <v>194</v>
      </c>
      <c r="C37" s="14">
        <f>SUM(C38:C39)</f>
        <v>537020</v>
      </c>
      <c r="D37" s="14">
        <f>SUM(D38:D39)</f>
        <v>0</v>
      </c>
      <c r="E37" s="14">
        <f>SUM(E38:E39)</f>
        <v>0</v>
      </c>
      <c r="F37" s="14"/>
      <c r="G37" s="14">
        <f aca="true" t="shared" si="9" ref="G37:S37">SUM(G38:G39)</f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  <c r="Q37" s="14">
        <f t="shared" si="9"/>
        <v>0</v>
      </c>
      <c r="R37" s="14">
        <f t="shared" si="9"/>
        <v>0</v>
      </c>
      <c r="S37" s="14">
        <f t="shared" si="9"/>
        <v>0</v>
      </c>
      <c r="T37" s="135">
        <f t="shared" si="5"/>
        <v>537020</v>
      </c>
      <c r="U37" s="43"/>
    </row>
    <row r="38" spans="1:21" ht="47.25">
      <c r="A38" s="155" t="s">
        <v>358</v>
      </c>
      <c r="B38" s="2" t="s">
        <v>359</v>
      </c>
      <c r="C38" s="11">
        <v>24000</v>
      </c>
      <c r="D38" s="87"/>
      <c r="E38" s="87"/>
      <c r="F38" s="14"/>
      <c r="G38" s="14"/>
      <c r="H38" s="1"/>
      <c r="I38" s="1"/>
      <c r="J38" s="1"/>
      <c r="K38" s="1"/>
      <c r="L38" s="1"/>
      <c r="M38" s="1"/>
      <c r="N38" s="1"/>
      <c r="O38" s="9"/>
      <c r="P38" s="9"/>
      <c r="Q38" s="9"/>
      <c r="R38" s="9"/>
      <c r="S38" s="9"/>
      <c r="T38" s="135">
        <f t="shared" si="5"/>
        <v>24000</v>
      </c>
      <c r="U38" s="43"/>
    </row>
    <row r="39" spans="1:21" ht="75">
      <c r="A39" s="155" t="s">
        <v>275</v>
      </c>
      <c r="B39" s="160" t="s">
        <v>397</v>
      </c>
      <c r="C39" s="11">
        <f>512668+352</f>
        <v>513020</v>
      </c>
      <c r="D39" s="87"/>
      <c r="E39" s="87"/>
      <c r="F39" s="14"/>
      <c r="G39" s="14"/>
      <c r="H39" s="1"/>
      <c r="I39" s="1"/>
      <c r="J39" s="1"/>
      <c r="K39" s="1"/>
      <c r="L39" s="1"/>
      <c r="M39" s="1"/>
      <c r="N39" s="1"/>
      <c r="O39" s="9"/>
      <c r="P39" s="9"/>
      <c r="Q39" s="9"/>
      <c r="R39" s="9"/>
      <c r="S39" s="9"/>
      <c r="T39" s="135">
        <f t="shared" si="5"/>
        <v>513020</v>
      </c>
      <c r="U39" s="43"/>
    </row>
    <row r="40" spans="1:21" ht="15">
      <c r="A40" s="127" t="s">
        <v>69</v>
      </c>
      <c r="B40" s="128" t="s">
        <v>70</v>
      </c>
      <c r="C40" s="129"/>
      <c r="D40" s="1"/>
      <c r="E40" s="1"/>
      <c r="F40" s="9"/>
      <c r="G40" s="9"/>
      <c r="H40" s="1"/>
      <c r="I40" s="1"/>
      <c r="J40" s="1"/>
      <c r="K40" s="1"/>
      <c r="L40" s="1">
        <v>400</v>
      </c>
      <c r="M40" s="1"/>
      <c r="N40" s="1"/>
      <c r="O40" s="9"/>
      <c r="P40" s="9"/>
      <c r="Q40" s="9"/>
      <c r="R40" s="9"/>
      <c r="S40" s="9"/>
      <c r="T40" s="135">
        <f t="shared" si="5"/>
        <v>400</v>
      </c>
      <c r="U40" s="43"/>
    </row>
    <row r="41" spans="1:21" ht="15">
      <c r="A41" s="127" t="s">
        <v>300</v>
      </c>
      <c r="B41" s="128" t="s">
        <v>138</v>
      </c>
      <c r="C41" s="129">
        <f>266745+117875</f>
        <v>384620</v>
      </c>
      <c r="D41" s="9"/>
      <c r="E41" s="1"/>
      <c r="F41" s="9"/>
      <c r="G41" s="9"/>
      <c r="H41" s="1"/>
      <c r="I41" s="1"/>
      <c r="J41" s="1"/>
      <c r="K41" s="1"/>
      <c r="L41" s="9"/>
      <c r="M41" s="9"/>
      <c r="N41" s="9"/>
      <c r="O41" s="9"/>
      <c r="P41" s="9">
        <v>29391</v>
      </c>
      <c r="Q41" s="9">
        <v>83623</v>
      </c>
      <c r="R41" s="9">
        <v>120128</v>
      </c>
      <c r="S41" s="9"/>
      <c r="T41" s="135">
        <f t="shared" si="5"/>
        <v>617762</v>
      </c>
      <c r="U41" s="43"/>
    </row>
    <row r="42" spans="1:21" ht="15">
      <c r="A42" s="136" t="s">
        <v>71</v>
      </c>
      <c r="B42" s="86" t="s">
        <v>72</v>
      </c>
      <c r="C42" s="14">
        <f>SUM(C43:C74)</f>
        <v>8309374</v>
      </c>
      <c r="D42" s="14">
        <f>SUM(D43:D74)</f>
        <v>170339</v>
      </c>
      <c r="E42" s="14">
        <f>SUM(E43:E74)</f>
        <v>0</v>
      </c>
      <c r="F42" s="14"/>
      <c r="G42" s="14">
        <f aca="true" t="shared" si="10" ref="G42:R42">SUM(G43:G74)</f>
        <v>0</v>
      </c>
      <c r="H42" s="14">
        <f t="shared" si="10"/>
        <v>158828</v>
      </c>
      <c r="I42" s="14">
        <f t="shared" si="10"/>
        <v>49695</v>
      </c>
      <c r="J42" s="14">
        <f t="shared" si="10"/>
        <v>65608</v>
      </c>
      <c r="K42" s="14">
        <f t="shared" si="10"/>
        <v>276793</v>
      </c>
      <c r="L42" s="14">
        <f t="shared" si="10"/>
        <v>37778</v>
      </c>
      <c r="M42" s="14">
        <f t="shared" si="10"/>
        <v>50439</v>
      </c>
      <c r="N42" s="14">
        <f t="shared" si="10"/>
        <v>32238</v>
      </c>
      <c r="O42" s="14">
        <f t="shared" si="10"/>
        <v>47860</v>
      </c>
      <c r="P42" s="14">
        <f t="shared" si="10"/>
        <v>0</v>
      </c>
      <c r="Q42" s="14">
        <f t="shared" si="10"/>
        <v>3339691</v>
      </c>
      <c r="R42" s="14">
        <f t="shared" si="10"/>
        <v>1532019</v>
      </c>
      <c r="S42" s="14">
        <f>SUM(S43:S67)</f>
        <v>0</v>
      </c>
      <c r="T42" s="135">
        <f t="shared" si="5"/>
        <v>14070662</v>
      </c>
      <c r="U42" s="43"/>
    </row>
    <row r="43" spans="1:21" ht="15">
      <c r="A43" s="161" t="s">
        <v>324</v>
      </c>
      <c r="B43" s="49" t="s">
        <v>73</v>
      </c>
      <c r="C43" s="9">
        <f>1507312-22040</f>
        <v>1485272</v>
      </c>
      <c r="D43" s="1"/>
      <c r="E43" s="1"/>
      <c r="F43" s="9"/>
      <c r="G43" s="9"/>
      <c r="H43" s="1"/>
      <c r="I43" s="1">
        <f>35247-799-1269</f>
        <v>33179</v>
      </c>
      <c r="J43" s="1">
        <v>52750</v>
      </c>
      <c r="K43" s="1">
        <v>68989</v>
      </c>
      <c r="L43" s="1">
        <v>37778</v>
      </c>
      <c r="M43" s="1">
        <v>50439</v>
      </c>
      <c r="N43" s="90">
        <v>32238</v>
      </c>
      <c r="O43" s="9"/>
      <c r="P43" s="162"/>
      <c r="Q43" s="162">
        <f>689681+2874</f>
        <v>692555</v>
      </c>
      <c r="R43" s="9">
        <v>1532019</v>
      </c>
      <c r="S43" s="9"/>
      <c r="T43" s="135">
        <f t="shared" si="5"/>
        <v>3985219</v>
      </c>
      <c r="U43" s="43"/>
    </row>
    <row r="44" spans="1:21" ht="15">
      <c r="A44" s="48" t="s">
        <v>195</v>
      </c>
      <c r="B44" s="164" t="s">
        <v>196</v>
      </c>
      <c r="C44" s="9"/>
      <c r="D44" s="1">
        <f>119966+50373</f>
        <v>170339</v>
      </c>
      <c r="E44" s="1"/>
      <c r="F44" s="9"/>
      <c r="G44" s="9"/>
      <c r="H44" s="1">
        <f>157991+837</f>
        <v>158828</v>
      </c>
      <c r="I44" s="1">
        <v>16516</v>
      </c>
      <c r="J44" s="1">
        <v>12858</v>
      </c>
      <c r="K44" s="1">
        <v>62759</v>
      </c>
      <c r="L44" s="1"/>
      <c r="M44" s="1"/>
      <c r="N44" s="1"/>
      <c r="O44" s="52">
        <v>47860</v>
      </c>
      <c r="P44" s="1"/>
      <c r="Q44" s="1"/>
      <c r="R44" s="52"/>
      <c r="S44" s="9"/>
      <c r="T44" s="135">
        <f t="shared" si="5"/>
        <v>469160</v>
      </c>
      <c r="U44" s="43"/>
    </row>
    <row r="45" spans="1:21" ht="15">
      <c r="A45" s="48" t="s">
        <v>450</v>
      </c>
      <c r="B45" s="164" t="s">
        <v>451</v>
      </c>
      <c r="C45" s="9">
        <f>319720-112127</f>
        <v>207593</v>
      </c>
      <c r="D45" s="1"/>
      <c r="E45" s="1"/>
      <c r="F45" s="9"/>
      <c r="G45" s="9"/>
      <c r="H45" s="1"/>
      <c r="I45" s="1"/>
      <c r="J45" s="1"/>
      <c r="K45" s="9"/>
      <c r="L45" s="9"/>
      <c r="M45" s="9"/>
      <c r="N45" s="1"/>
      <c r="O45" s="52"/>
      <c r="P45" s="1"/>
      <c r="Q45" s="1"/>
      <c r="R45" s="52"/>
      <c r="S45" s="9"/>
      <c r="T45" s="135">
        <f t="shared" si="5"/>
        <v>207593</v>
      </c>
      <c r="U45" s="43"/>
    </row>
    <row r="46" spans="1:21" ht="15.75">
      <c r="A46" s="165" t="s">
        <v>360</v>
      </c>
      <c r="B46" s="2" t="s">
        <v>361</v>
      </c>
      <c r="C46" s="9">
        <f>187586+40819</f>
        <v>228405</v>
      </c>
      <c r="D46" s="1"/>
      <c r="E46" s="1"/>
      <c r="F46" s="9"/>
      <c r="G46" s="9"/>
      <c r="H46" s="1"/>
      <c r="I46" s="1"/>
      <c r="J46" s="1"/>
      <c r="K46" s="9"/>
      <c r="L46" s="9"/>
      <c r="M46" s="9"/>
      <c r="N46" s="9"/>
      <c r="O46" s="9"/>
      <c r="P46" s="9"/>
      <c r="Q46" s="9"/>
      <c r="R46" s="9"/>
      <c r="S46" s="9"/>
      <c r="T46" s="135">
        <f t="shared" si="5"/>
        <v>228405</v>
      </c>
      <c r="U46" s="43"/>
    </row>
    <row r="47" spans="1:21" ht="63">
      <c r="A47" s="165" t="s">
        <v>398</v>
      </c>
      <c r="B47" s="2" t="s">
        <v>469</v>
      </c>
      <c r="C47" s="9">
        <f>918513+228086</f>
        <v>1146599</v>
      </c>
      <c r="D47" s="1"/>
      <c r="E47" s="1"/>
      <c r="F47" s="9"/>
      <c r="G47" s="9"/>
      <c r="H47" s="1"/>
      <c r="I47" s="1"/>
      <c r="J47" s="1"/>
      <c r="K47" s="9"/>
      <c r="L47" s="9"/>
      <c r="M47" s="9"/>
      <c r="N47" s="9"/>
      <c r="O47" s="9"/>
      <c r="P47" s="9"/>
      <c r="Q47" s="9"/>
      <c r="R47" s="9"/>
      <c r="S47" s="9"/>
      <c r="T47" s="135">
        <f t="shared" si="5"/>
        <v>1146599</v>
      </c>
      <c r="U47" s="43"/>
    </row>
    <row r="48" spans="1:21" ht="15.75">
      <c r="A48" s="165" t="s">
        <v>399</v>
      </c>
      <c r="B48" s="2" t="s">
        <v>462</v>
      </c>
      <c r="C48" s="9">
        <v>46402</v>
      </c>
      <c r="D48" s="1"/>
      <c r="E48" s="1"/>
      <c r="F48" s="9"/>
      <c r="G48" s="9"/>
      <c r="H48" s="1"/>
      <c r="I48" s="1"/>
      <c r="J48" s="1"/>
      <c r="K48" s="9"/>
      <c r="L48" s="9"/>
      <c r="M48" s="9"/>
      <c r="N48" s="9"/>
      <c r="O48" s="9"/>
      <c r="P48" s="9"/>
      <c r="Q48" s="9"/>
      <c r="R48" s="9"/>
      <c r="S48" s="9"/>
      <c r="T48" s="135">
        <f t="shared" si="5"/>
        <v>46402</v>
      </c>
      <c r="U48" s="43"/>
    </row>
    <row r="49" spans="1:21" ht="47.25">
      <c r="A49" s="165" t="s">
        <v>400</v>
      </c>
      <c r="B49" s="2" t="s">
        <v>493</v>
      </c>
      <c r="C49" s="9">
        <f>771427+13500-116057</f>
        <v>668870</v>
      </c>
      <c r="D49" s="1"/>
      <c r="E49" s="1"/>
      <c r="F49" s="9"/>
      <c r="G49" s="9"/>
      <c r="H49" s="1"/>
      <c r="I49" s="1"/>
      <c r="J49" s="1"/>
      <c r="K49" s="9"/>
      <c r="L49" s="9"/>
      <c r="M49" s="9"/>
      <c r="N49" s="9"/>
      <c r="O49" s="9"/>
      <c r="P49" s="9"/>
      <c r="Q49" s="9"/>
      <c r="R49" s="9"/>
      <c r="S49" s="9"/>
      <c r="T49" s="135">
        <f t="shared" si="5"/>
        <v>668870</v>
      </c>
      <c r="U49" s="43"/>
    </row>
    <row r="50" spans="1:21" ht="15">
      <c r="A50" s="165" t="s">
        <v>452</v>
      </c>
      <c r="B50" s="166" t="s">
        <v>453</v>
      </c>
      <c r="C50" s="9">
        <f>460792+19740</f>
        <v>480532</v>
      </c>
      <c r="D50" s="1"/>
      <c r="E50" s="1"/>
      <c r="F50" s="9"/>
      <c r="G50" s="9"/>
      <c r="H50" s="1"/>
      <c r="I50" s="1"/>
      <c r="J50" s="1"/>
      <c r="K50" s="9"/>
      <c r="L50" s="9"/>
      <c r="M50" s="9"/>
      <c r="N50" s="9"/>
      <c r="O50" s="9"/>
      <c r="P50" s="9"/>
      <c r="Q50" s="9"/>
      <c r="R50" s="9"/>
      <c r="S50" s="9"/>
      <c r="T50" s="135">
        <f t="shared" si="5"/>
        <v>480532</v>
      </c>
      <c r="U50" s="43"/>
    </row>
    <row r="51" spans="1:21" ht="15">
      <c r="A51" s="165" t="s">
        <v>454</v>
      </c>
      <c r="B51" s="166" t="s">
        <v>457</v>
      </c>
      <c r="C51" s="9">
        <v>85400</v>
      </c>
      <c r="D51" s="1"/>
      <c r="E51" s="1"/>
      <c r="F51" s="9"/>
      <c r="G51" s="9"/>
      <c r="H51" s="1"/>
      <c r="I51" s="1"/>
      <c r="J51" s="1"/>
      <c r="K51" s="9"/>
      <c r="L51" s="9"/>
      <c r="M51" s="9"/>
      <c r="N51" s="9"/>
      <c r="O51" s="9"/>
      <c r="P51" s="9"/>
      <c r="Q51" s="9"/>
      <c r="R51" s="9"/>
      <c r="S51" s="9"/>
      <c r="T51" s="135">
        <f t="shared" si="5"/>
        <v>85400</v>
      </c>
      <c r="U51" s="43"/>
    </row>
    <row r="52" spans="1:21" ht="15">
      <c r="A52" s="165" t="s">
        <v>455</v>
      </c>
      <c r="B52" s="166" t="s">
        <v>458</v>
      </c>
      <c r="C52" s="9">
        <v>29354</v>
      </c>
      <c r="D52" s="1"/>
      <c r="E52" s="1"/>
      <c r="F52" s="9"/>
      <c r="G52" s="9"/>
      <c r="H52" s="1"/>
      <c r="I52" s="1"/>
      <c r="J52" s="1"/>
      <c r="K52" s="9"/>
      <c r="L52" s="9"/>
      <c r="M52" s="9"/>
      <c r="N52" s="9"/>
      <c r="O52" s="9"/>
      <c r="P52" s="9"/>
      <c r="Q52" s="9"/>
      <c r="R52" s="9"/>
      <c r="S52" s="9"/>
      <c r="T52" s="135">
        <f t="shared" si="5"/>
        <v>29354</v>
      </c>
      <c r="U52" s="43"/>
    </row>
    <row r="53" spans="1:21" ht="45">
      <c r="A53" s="165" t="s">
        <v>456</v>
      </c>
      <c r="B53" s="166" t="s">
        <v>459</v>
      </c>
      <c r="C53" s="9">
        <v>619622</v>
      </c>
      <c r="D53" s="1"/>
      <c r="E53" s="1"/>
      <c r="F53" s="9"/>
      <c r="G53" s="9"/>
      <c r="H53" s="1"/>
      <c r="I53" s="1"/>
      <c r="J53" s="1"/>
      <c r="K53" s="9"/>
      <c r="L53" s="9"/>
      <c r="M53" s="9"/>
      <c r="N53" s="9"/>
      <c r="O53" s="9"/>
      <c r="P53" s="9"/>
      <c r="Q53" s="9"/>
      <c r="R53" s="9"/>
      <c r="S53" s="9"/>
      <c r="T53" s="135">
        <f t="shared" si="5"/>
        <v>619622</v>
      </c>
      <c r="U53" s="43"/>
    </row>
    <row r="54" spans="1:21" ht="15">
      <c r="A54" s="165" t="s">
        <v>460</v>
      </c>
      <c r="B54" s="3" t="s">
        <v>461</v>
      </c>
      <c r="C54" s="9">
        <v>2613</v>
      </c>
      <c r="D54" s="1"/>
      <c r="E54" s="1"/>
      <c r="F54" s="9"/>
      <c r="G54" s="9"/>
      <c r="H54" s="1"/>
      <c r="I54" s="1"/>
      <c r="J54" s="1"/>
      <c r="K54" s="9"/>
      <c r="L54" s="9"/>
      <c r="M54" s="9"/>
      <c r="N54" s="9"/>
      <c r="O54" s="9"/>
      <c r="P54" s="9"/>
      <c r="Q54" s="9"/>
      <c r="R54" s="9"/>
      <c r="S54" s="9"/>
      <c r="T54" s="135">
        <f t="shared" si="5"/>
        <v>2613</v>
      </c>
      <c r="U54" s="43"/>
    </row>
    <row r="55" spans="1:21" ht="15.75">
      <c r="A55" s="165" t="s">
        <v>466</v>
      </c>
      <c r="B55" s="167" t="s">
        <v>467</v>
      </c>
      <c r="C55" s="9"/>
      <c r="D55" s="1"/>
      <c r="E55" s="1"/>
      <c r="F55" s="9"/>
      <c r="G55" s="9"/>
      <c r="H55" s="1"/>
      <c r="I55" s="1"/>
      <c r="J55" s="1"/>
      <c r="K55" s="9">
        <v>145045</v>
      </c>
      <c r="L55" s="9"/>
      <c r="M55" s="9"/>
      <c r="N55" s="9"/>
      <c r="O55" s="9"/>
      <c r="P55" s="9"/>
      <c r="Q55" s="9"/>
      <c r="R55" s="9"/>
      <c r="S55" s="9"/>
      <c r="T55" s="135">
        <f t="shared" si="5"/>
        <v>145045</v>
      </c>
      <c r="U55" s="43"/>
    </row>
    <row r="56" spans="1:21" ht="34.5" customHeight="1">
      <c r="A56" s="165" t="s">
        <v>494</v>
      </c>
      <c r="B56" s="163" t="s">
        <v>495</v>
      </c>
      <c r="C56" s="9">
        <f>345535-35856</f>
        <v>309679</v>
      </c>
      <c r="D56" s="1"/>
      <c r="E56" s="1"/>
      <c r="F56" s="9"/>
      <c r="G56" s="9"/>
      <c r="H56" s="1"/>
      <c r="I56" s="1"/>
      <c r="J56" s="1"/>
      <c r="K56" s="9"/>
      <c r="L56" s="9"/>
      <c r="M56" s="9"/>
      <c r="N56" s="9"/>
      <c r="O56" s="9"/>
      <c r="P56" s="9"/>
      <c r="Q56" s="9"/>
      <c r="R56" s="9"/>
      <c r="S56" s="9"/>
      <c r="T56" s="135">
        <f t="shared" si="5"/>
        <v>309679</v>
      </c>
      <c r="U56" s="43"/>
    </row>
    <row r="57" spans="1:21" ht="15">
      <c r="A57" s="165" t="s">
        <v>496</v>
      </c>
      <c r="B57" s="163" t="s">
        <v>497</v>
      </c>
      <c r="C57" s="9">
        <f>1343000-607041</f>
        <v>735959</v>
      </c>
      <c r="D57" s="1"/>
      <c r="E57" s="1"/>
      <c r="F57" s="9"/>
      <c r="G57" s="9"/>
      <c r="H57" s="1"/>
      <c r="I57" s="1"/>
      <c r="J57" s="1"/>
      <c r="K57" s="9"/>
      <c r="L57" s="9"/>
      <c r="M57" s="9"/>
      <c r="N57" s="9"/>
      <c r="O57" s="9"/>
      <c r="P57" s="9"/>
      <c r="Q57" s="9"/>
      <c r="R57" s="9"/>
      <c r="S57" s="9"/>
      <c r="T57" s="135">
        <f t="shared" si="5"/>
        <v>735959</v>
      </c>
      <c r="U57" s="43"/>
    </row>
    <row r="58" spans="1:21" ht="30">
      <c r="A58" s="165" t="s">
        <v>498</v>
      </c>
      <c r="B58" s="163" t="s">
        <v>499</v>
      </c>
      <c r="C58" s="9">
        <f>276409-66043</f>
        <v>210366</v>
      </c>
      <c r="D58" s="1"/>
      <c r="E58" s="1"/>
      <c r="F58" s="9"/>
      <c r="G58" s="9"/>
      <c r="H58" s="1"/>
      <c r="I58" s="1"/>
      <c r="J58" s="1"/>
      <c r="K58" s="9"/>
      <c r="L58" s="9"/>
      <c r="M58" s="9"/>
      <c r="N58" s="9"/>
      <c r="O58" s="9"/>
      <c r="P58" s="9"/>
      <c r="Q58" s="9"/>
      <c r="R58" s="9"/>
      <c r="S58" s="9"/>
      <c r="T58" s="135">
        <f t="shared" si="5"/>
        <v>210366</v>
      </c>
      <c r="U58" s="43"/>
    </row>
    <row r="59" spans="1:21" ht="30">
      <c r="A59" s="165" t="s">
        <v>500</v>
      </c>
      <c r="B59" s="163" t="s">
        <v>501</v>
      </c>
      <c r="C59" s="9">
        <f>471547-50622-8933</f>
        <v>411992</v>
      </c>
      <c r="D59" s="1"/>
      <c r="E59" s="1"/>
      <c r="F59" s="9"/>
      <c r="G59" s="9"/>
      <c r="H59" s="1"/>
      <c r="I59" s="1"/>
      <c r="J59" s="1"/>
      <c r="K59" s="9"/>
      <c r="L59" s="9"/>
      <c r="M59" s="9"/>
      <c r="N59" s="9"/>
      <c r="O59" s="9"/>
      <c r="P59" s="9"/>
      <c r="Q59" s="9"/>
      <c r="R59" s="9"/>
      <c r="S59" s="9"/>
      <c r="T59" s="135">
        <f t="shared" si="5"/>
        <v>411992</v>
      </c>
      <c r="U59" s="43"/>
    </row>
    <row r="60" spans="1:21" ht="15">
      <c r="A60" s="165" t="s">
        <v>502</v>
      </c>
      <c r="B60" s="163" t="s">
        <v>503</v>
      </c>
      <c r="C60" s="9">
        <f>968200-810319</f>
        <v>157881</v>
      </c>
      <c r="D60" s="1"/>
      <c r="E60" s="1"/>
      <c r="F60" s="9"/>
      <c r="G60" s="9"/>
      <c r="H60" s="1"/>
      <c r="I60" s="1"/>
      <c r="J60" s="1"/>
      <c r="K60" s="9"/>
      <c r="L60" s="9"/>
      <c r="M60" s="9"/>
      <c r="N60" s="9"/>
      <c r="O60" s="9"/>
      <c r="P60" s="9"/>
      <c r="Q60" s="9"/>
      <c r="R60" s="9"/>
      <c r="S60" s="9"/>
      <c r="T60" s="135">
        <f t="shared" si="5"/>
        <v>157881</v>
      </c>
      <c r="U60" s="43"/>
    </row>
    <row r="61" spans="1:21" ht="15">
      <c r="A61" s="165" t="s">
        <v>504</v>
      </c>
      <c r="B61" s="163" t="s">
        <v>505</v>
      </c>
      <c r="C61" s="9">
        <f>159140-53198</f>
        <v>105942</v>
      </c>
      <c r="D61" s="1"/>
      <c r="E61" s="1"/>
      <c r="F61" s="9"/>
      <c r="G61" s="9"/>
      <c r="H61" s="1"/>
      <c r="I61" s="1"/>
      <c r="J61" s="1"/>
      <c r="K61" s="9"/>
      <c r="L61" s="9"/>
      <c r="M61" s="9"/>
      <c r="N61" s="9"/>
      <c r="O61" s="9"/>
      <c r="P61" s="9"/>
      <c r="Q61" s="9"/>
      <c r="R61" s="9"/>
      <c r="S61" s="9"/>
      <c r="T61" s="135">
        <f t="shared" si="5"/>
        <v>105942</v>
      </c>
      <c r="U61" s="43"/>
    </row>
    <row r="62" spans="1:21" ht="15">
      <c r="A62" s="165" t="s">
        <v>506</v>
      </c>
      <c r="B62" s="163" t="s">
        <v>507</v>
      </c>
      <c r="C62" s="9">
        <f>214800-73617</f>
        <v>141183</v>
      </c>
      <c r="D62" s="1"/>
      <c r="E62" s="1"/>
      <c r="F62" s="9"/>
      <c r="G62" s="9"/>
      <c r="H62" s="1"/>
      <c r="I62" s="1"/>
      <c r="J62" s="1"/>
      <c r="K62" s="9"/>
      <c r="L62" s="9"/>
      <c r="M62" s="9"/>
      <c r="N62" s="9"/>
      <c r="O62" s="9"/>
      <c r="P62" s="9"/>
      <c r="Q62" s="9"/>
      <c r="R62" s="9"/>
      <c r="S62" s="9"/>
      <c r="T62" s="135">
        <f t="shared" si="5"/>
        <v>141183</v>
      </c>
      <c r="U62" s="43"/>
    </row>
    <row r="63" spans="1:21" ht="15">
      <c r="A63" s="165" t="s">
        <v>508</v>
      </c>
      <c r="B63" s="163" t="s">
        <v>509</v>
      </c>
      <c r="C63" s="9">
        <f>221430-2954</f>
        <v>218476</v>
      </c>
      <c r="D63" s="1"/>
      <c r="E63" s="1"/>
      <c r="F63" s="9"/>
      <c r="G63" s="9"/>
      <c r="H63" s="1"/>
      <c r="I63" s="1"/>
      <c r="J63" s="1"/>
      <c r="K63" s="9"/>
      <c r="L63" s="9"/>
      <c r="M63" s="9"/>
      <c r="N63" s="9"/>
      <c r="O63" s="9"/>
      <c r="P63" s="9"/>
      <c r="Q63" s="9"/>
      <c r="R63" s="9"/>
      <c r="S63" s="9"/>
      <c r="T63" s="135">
        <f t="shared" si="5"/>
        <v>218476</v>
      </c>
      <c r="U63" s="43"/>
    </row>
    <row r="64" spans="1:21" ht="15">
      <c r="A64" s="165" t="s">
        <v>510</v>
      </c>
      <c r="B64" s="163" t="s">
        <v>511</v>
      </c>
      <c r="C64" s="9">
        <f>245800+141240</f>
        <v>387040</v>
      </c>
      <c r="D64" s="1"/>
      <c r="E64" s="1"/>
      <c r="F64" s="9"/>
      <c r="G64" s="9"/>
      <c r="H64" s="1"/>
      <c r="I64" s="1"/>
      <c r="J64" s="1"/>
      <c r="K64" s="9"/>
      <c r="L64" s="9"/>
      <c r="M64" s="9"/>
      <c r="N64" s="9"/>
      <c r="O64" s="9"/>
      <c r="P64" s="9"/>
      <c r="Q64" s="9"/>
      <c r="R64" s="9"/>
      <c r="S64" s="9"/>
      <c r="T64" s="135">
        <f t="shared" si="5"/>
        <v>387040</v>
      </c>
      <c r="U64" s="43"/>
    </row>
    <row r="65" spans="1:21" ht="30">
      <c r="A65" s="165" t="s">
        <v>512</v>
      </c>
      <c r="B65" s="163" t="s">
        <v>513</v>
      </c>
      <c r="C65" s="9">
        <f>146000+31727</f>
        <v>177727</v>
      </c>
      <c r="D65" s="1"/>
      <c r="E65" s="1"/>
      <c r="F65" s="9"/>
      <c r="G65" s="9"/>
      <c r="H65" s="1"/>
      <c r="I65" s="1"/>
      <c r="J65" s="1"/>
      <c r="K65" s="9"/>
      <c r="L65" s="9"/>
      <c r="M65" s="9"/>
      <c r="N65" s="9"/>
      <c r="O65" s="9"/>
      <c r="P65" s="9"/>
      <c r="Q65" s="9"/>
      <c r="R65" s="9"/>
      <c r="S65" s="9"/>
      <c r="T65" s="135">
        <f t="shared" si="5"/>
        <v>177727</v>
      </c>
      <c r="U65" s="43"/>
    </row>
    <row r="66" spans="1:21" ht="15">
      <c r="A66" s="165" t="s">
        <v>514</v>
      </c>
      <c r="B66" s="163" t="s">
        <v>515</v>
      </c>
      <c r="C66" s="9">
        <f>120000+3469</f>
        <v>123469</v>
      </c>
      <c r="D66" s="1"/>
      <c r="E66" s="1"/>
      <c r="F66" s="9"/>
      <c r="G66" s="9"/>
      <c r="H66" s="1"/>
      <c r="I66" s="1"/>
      <c r="J66" s="1"/>
      <c r="K66" s="9"/>
      <c r="L66" s="9"/>
      <c r="M66" s="9"/>
      <c r="N66" s="9"/>
      <c r="O66" s="9"/>
      <c r="P66" s="9"/>
      <c r="Q66" s="9"/>
      <c r="R66" s="9"/>
      <c r="S66" s="9"/>
      <c r="T66" s="135">
        <f t="shared" si="5"/>
        <v>123469</v>
      </c>
      <c r="U66" s="43"/>
    </row>
    <row r="67" spans="1:21" ht="15">
      <c r="A67" s="165" t="s">
        <v>516</v>
      </c>
      <c r="B67" s="163" t="s">
        <v>517</v>
      </c>
      <c r="C67" s="9">
        <f>134000+7393</f>
        <v>141393</v>
      </c>
      <c r="D67" s="1"/>
      <c r="E67" s="1"/>
      <c r="F67" s="9"/>
      <c r="G67" s="9"/>
      <c r="H67" s="1"/>
      <c r="I67" s="1"/>
      <c r="J67" s="1"/>
      <c r="K67" s="9"/>
      <c r="L67" s="9"/>
      <c r="M67" s="9"/>
      <c r="N67" s="9"/>
      <c r="O67" s="9"/>
      <c r="P67" s="9"/>
      <c r="Q67" s="9"/>
      <c r="R67" s="9"/>
      <c r="S67" s="9"/>
      <c r="T67" s="135">
        <f t="shared" si="5"/>
        <v>141393</v>
      </c>
      <c r="U67" s="43"/>
    </row>
    <row r="68" spans="1:21" ht="30" customHeight="1">
      <c r="A68" s="165" t="s">
        <v>666</v>
      </c>
      <c r="B68" s="163" t="s">
        <v>669</v>
      </c>
      <c r="C68" s="9">
        <f>58987</f>
        <v>58987</v>
      </c>
      <c r="D68" s="1"/>
      <c r="E68" s="1"/>
      <c r="F68" s="9"/>
      <c r="G68" s="9"/>
      <c r="H68" s="1"/>
      <c r="I68" s="1"/>
      <c r="J68" s="1"/>
      <c r="K68" s="9"/>
      <c r="L68" s="9"/>
      <c r="M68" s="9"/>
      <c r="N68" s="9"/>
      <c r="O68" s="9"/>
      <c r="P68" s="9"/>
      <c r="Q68" s="9"/>
      <c r="R68" s="9"/>
      <c r="S68" s="9"/>
      <c r="T68" s="135">
        <f t="shared" si="5"/>
        <v>58987</v>
      </c>
      <c r="U68" s="43"/>
    </row>
    <row r="69" spans="1:21" ht="30" customHeight="1">
      <c r="A69" s="165" t="s">
        <v>667</v>
      </c>
      <c r="B69" s="163" t="s">
        <v>670</v>
      </c>
      <c r="C69" s="9">
        <f>74699</f>
        <v>74699</v>
      </c>
      <c r="D69" s="1"/>
      <c r="E69" s="1"/>
      <c r="F69" s="9"/>
      <c r="G69" s="9"/>
      <c r="H69" s="1"/>
      <c r="I69" s="1"/>
      <c r="J69" s="1"/>
      <c r="K69" s="9"/>
      <c r="L69" s="9"/>
      <c r="M69" s="9"/>
      <c r="N69" s="9"/>
      <c r="O69" s="9"/>
      <c r="P69" s="9"/>
      <c r="Q69" s="9"/>
      <c r="R69" s="9"/>
      <c r="S69" s="9"/>
      <c r="T69" s="135">
        <f t="shared" si="5"/>
        <v>74699</v>
      </c>
      <c r="U69" s="43"/>
    </row>
    <row r="70" spans="1:21" ht="30" customHeight="1">
      <c r="A70" s="165" t="s">
        <v>668</v>
      </c>
      <c r="B70" s="163" t="s">
        <v>671</v>
      </c>
      <c r="C70" s="9">
        <f>53919</f>
        <v>53919</v>
      </c>
      <c r="D70" s="1"/>
      <c r="E70" s="1"/>
      <c r="F70" s="9"/>
      <c r="G70" s="9"/>
      <c r="H70" s="1"/>
      <c r="I70" s="1"/>
      <c r="J70" s="1"/>
      <c r="K70" s="9"/>
      <c r="L70" s="9"/>
      <c r="M70" s="9"/>
      <c r="N70" s="9"/>
      <c r="O70" s="9"/>
      <c r="P70" s="9"/>
      <c r="Q70" s="9"/>
      <c r="R70" s="9"/>
      <c r="S70" s="9"/>
      <c r="T70" s="135">
        <f t="shared" si="5"/>
        <v>53919</v>
      </c>
      <c r="U70" s="43"/>
    </row>
    <row r="71" spans="1:21" ht="30" customHeight="1">
      <c r="A71" s="165" t="s">
        <v>71</v>
      </c>
      <c r="B71" s="168" t="s">
        <v>569</v>
      </c>
      <c r="C71" s="9"/>
      <c r="D71" s="1"/>
      <c r="E71" s="1"/>
      <c r="F71" s="9"/>
      <c r="G71" s="9"/>
      <c r="H71" s="1"/>
      <c r="I71" s="1"/>
      <c r="J71" s="1"/>
      <c r="K71" s="9"/>
      <c r="L71" s="9"/>
      <c r="M71" s="9"/>
      <c r="N71" s="9"/>
      <c r="O71" s="9"/>
      <c r="P71" s="9"/>
      <c r="Q71" s="9">
        <v>223315</v>
      </c>
      <c r="R71" s="9"/>
      <c r="S71" s="9"/>
      <c r="T71" s="135">
        <f t="shared" si="5"/>
        <v>223315</v>
      </c>
      <c r="U71" s="43"/>
    </row>
    <row r="72" spans="1:21" ht="30" customHeight="1">
      <c r="A72" s="165" t="s">
        <v>71</v>
      </c>
      <c r="B72" s="163" t="s">
        <v>570</v>
      </c>
      <c r="C72" s="9"/>
      <c r="D72" s="1"/>
      <c r="E72" s="1"/>
      <c r="F72" s="9"/>
      <c r="G72" s="9"/>
      <c r="H72" s="1"/>
      <c r="I72" s="1"/>
      <c r="J72" s="1"/>
      <c r="K72" s="9"/>
      <c r="L72" s="9"/>
      <c r="M72" s="9"/>
      <c r="N72" s="9"/>
      <c r="O72" s="9"/>
      <c r="P72" s="9"/>
      <c r="Q72" s="9">
        <v>729099</v>
      </c>
      <c r="R72" s="9"/>
      <c r="S72" s="9"/>
      <c r="T72" s="135">
        <f t="shared" si="5"/>
        <v>729099</v>
      </c>
      <c r="U72" s="43"/>
    </row>
    <row r="73" spans="1:21" ht="30" customHeight="1">
      <c r="A73" s="165" t="s">
        <v>71</v>
      </c>
      <c r="B73" s="163" t="s">
        <v>571</v>
      </c>
      <c r="C73" s="9"/>
      <c r="D73" s="1"/>
      <c r="E73" s="1"/>
      <c r="F73" s="9"/>
      <c r="G73" s="9"/>
      <c r="H73" s="1"/>
      <c r="I73" s="1"/>
      <c r="J73" s="1"/>
      <c r="K73" s="9"/>
      <c r="L73" s="9"/>
      <c r="M73" s="9"/>
      <c r="N73" s="9"/>
      <c r="O73" s="9"/>
      <c r="P73" s="9"/>
      <c r="Q73" s="9">
        <f>965651-147620</f>
        <v>818031</v>
      </c>
      <c r="R73" s="9"/>
      <c r="S73" s="9"/>
      <c r="T73" s="135">
        <f t="shared" si="5"/>
        <v>818031</v>
      </c>
      <c r="U73" s="43"/>
    </row>
    <row r="74" spans="1:21" ht="30" customHeight="1">
      <c r="A74" s="165" t="s">
        <v>71</v>
      </c>
      <c r="B74" s="163" t="s">
        <v>572</v>
      </c>
      <c r="C74" s="9"/>
      <c r="D74" s="1"/>
      <c r="E74" s="1"/>
      <c r="F74" s="9"/>
      <c r="G74" s="9"/>
      <c r="H74" s="1"/>
      <c r="I74" s="1"/>
      <c r="J74" s="1"/>
      <c r="K74" s="9"/>
      <c r="L74" s="9"/>
      <c r="M74" s="9"/>
      <c r="N74" s="9"/>
      <c r="O74" s="9"/>
      <c r="P74" s="9"/>
      <c r="Q74" s="9">
        <v>876691</v>
      </c>
      <c r="R74" s="9"/>
      <c r="S74" s="9"/>
      <c r="T74" s="135">
        <f t="shared" si="5"/>
        <v>876691</v>
      </c>
      <c r="U74" s="43"/>
    </row>
    <row r="75" spans="1:21" ht="15">
      <c r="A75" s="136" t="s">
        <v>74</v>
      </c>
      <c r="B75" s="169" t="s">
        <v>75</v>
      </c>
      <c r="C75" s="14">
        <f>SUM(C76:C76)</f>
        <v>0</v>
      </c>
      <c r="D75" s="1"/>
      <c r="E75" s="1"/>
      <c r="F75" s="9"/>
      <c r="G75" s="9"/>
      <c r="H75" s="87">
        <f aca="true" t="shared" si="11" ref="H75:S75">SUM(H76:H76)</f>
        <v>0</v>
      </c>
      <c r="I75" s="87">
        <f t="shared" si="11"/>
        <v>0</v>
      </c>
      <c r="J75" s="87">
        <f>SUM(J76:J76)</f>
        <v>0</v>
      </c>
      <c r="K75" s="14">
        <f t="shared" si="11"/>
        <v>0</v>
      </c>
      <c r="L75" s="14">
        <f t="shared" si="11"/>
        <v>0</v>
      </c>
      <c r="M75" s="14">
        <f t="shared" si="11"/>
        <v>0</v>
      </c>
      <c r="N75" s="14">
        <f t="shared" si="11"/>
        <v>0</v>
      </c>
      <c r="O75" s="14">
        <f t="shared" si="11"/>
        <v>0</v>
      </c>
      <c r="P75" s="14">
        <f t="shared" si="11"/>
        <v>0</v>
      </c>
      <c r="Q75" s="14">
        <f t="shared" si="11"/>
        <v>0</v>
      </c>
      <c r="R75" s="14">
        <f t="shared" si="11"/>
        <v>0</v>
      </c>
      <c r="S75" s="14">
        <f t="shared" si="11"/>
        <v>0</v>
      </c>
      <c r="T75" s="135">
        <f t="shared" si="5"/>
        <v>0</v>
      </c>
      <c r="U75" s="43"/>
    </row>
    <row r="76" spans="1:21" ht="15">
      <c r="A76" s="48" t="s">
        <v>197</v>
      </c>
      <c r="B76" s="49" t="s">
        <v>262</v>
      </c>
      <c r="C76" s="9"/>
      <c r="D76" s="1"/>
      <c r="E76" s="1"/>
      <c r="F76" s="9"/>
      <c r="G76" s="9"/>
      <c r="H76" s="1"/>
      <c r="I76" s="1"/>
      <c r="J76" s="1"/>
      <c r="K76" s="1"/>
      <c r="L76" s="1"/>
      <c r="M76" s="1"/>
      <c r="N76" s="1"/>
      <c r="O76" s="9"/>
      <c r="P76" s="9"/>
      <c r="Q76" s="9"/>
      <c r="R76" s="9"/>
      <c r="S76" s="9"/>
      <c r="T76" s="135">
        <f t="shared" si="5"/>
        <v>0</v>
      </c>
      <c r="U76" s="43"/>
    </row>
    <row r="77" spans="1:21" ht="15">
      <c r="A77" s="170" t="s">
        <v>348</v>
      </c>
      <c r="B77" s="171" t="s">
        <v>342</v>
      </c>
      <c r="C77" s="9">
        <f>108980+971+600+18383</f>
        <v>128934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21153</v>
      </c>
      <c r="R77" s="9">
        <v>30454</v>
      </c>
      <c r="S77" s="9"/>
      <c r="T77" s="135">
        <f t="shared" si="5"/>
        <v>180541</v>
      </c>
      <c r="U77" s="43"/>
    </row>
    <row r="78" spans="1:21" ht="30">
      <c r="A78" s="165" t="s">
        <v>649</v>
      </c>
      <c r="B78" s="172" t="s">
        <v>622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62">
        <f>374838-50000</f>
        <v>324838</v>
      </c>
      <c r="T78" s="135">
        <f t="shared" si="5"/>
        <v>324838</v>
      </c>
      <c r="U78" s="43"/>
    </row>
    <row r="79" spans="1:21" ht="15">
      <c r="A79" s="165" t="s">
        <v>649</v>
      </c>
      <c r="B79" s="173" t="s">
        <v>623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33287</v>
      </c>
      <c r="S79" s="62"/>
      <c r="T79" s="135">
        <f>SUM(C79:S79)</f>
        <v>33287</v>
      </c>
      <c r="U79" s="43"/>
    </row>
    <row r="80" spans="1:21" ht="30">
      <c r="A80" s="165" t="s">
        <v>649</v>
      </c>
      <c r="B80" s="173" t="s">
        <v>624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21639</v>
      </c>
      <c r="S80" s="62"/>
      <c r="T80" s="135">
        <f>SUM(C80:S80)</f>
        <v>21639</v>
      </c>
      <c r="U80" s="43"/>
    </row>
    <row r="81" spans="1:21" ht="60.75" thickBot="1">
      <c r="A81" s="174" t="s">
        <v>649</v>
      </c>
      <c r="B81" s="163" t="s">
        <v>573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>
        <v>4177</v>
      </c>
      <c r="R81" s="12"/>
      <c r="S81" s="63"/>
      <c r="T81" s="175">
        <f>SUM(C81:S81)</f>
        <v>4177</v>
      </c>
      <c r="U81" s="43"/>
    </row>
    <row r="82" spans="1:21" ht="15.75" thickBot="1">
      <c r="A82" s="76" t="s">
        <v>17</v>
      </c>
      <c r="B82" s="176" t="s">
        <v>76</v>
      </c>
      <c r="C82" s="41">
        <f aca="true" t="shared" si="12" ref="C82:S82">C83+C86+C89+C95</f>
        <v>5958143</v>
      </c>
      <c r="D82" s="41">
        <f t="shared" si="12"/>
        <v>589218</v>
      </c>
      <c r="E82" s="41">
        <f t="shared" si="12"/>
        <v>0</v>
      </c>
      <c r="F82" s="41"/>
      <c r="G82" s="41">
        <f t="shared" si="12"/>
        <v>92651</v>
      </c>
      <c r="H82" s="41">
        <f t="shared" si="12"/>
        <v>10600</v>
      </c>
      <c r="I82" s="41">
        <f t="shared" si="12"/>
        <v>36948</v>
      </c>
      <c r="J82" s="41">
        <f t="shared" si="12"/>
        <v>38450</v>
      </c>
      <c r="K82" s="41">
        <f t="shared" si="12"/>
        <v>138771</v>
      </c>
      <c r="L82" s="41">
        <f t="shared" si="12"/>
        <v>28120</v>
      </c>
      <c r="M82" s="41">
        <f t="shared" si="12"/>
        <v>15272</v>
      </c>
      <c r="N82" s="41">
        <f t="shared" si="12"/>
        <v>0</v>
      </c>
      <c r="O82" s="41">
        <f t="shared" si="12"/>
        <v>24254</v>
      </c>
      <c r="P82" s="41">
        <f t="shared" si="12"/>
        <v>46800</v>
      </c>
      <c r="Q82" s="41">
        <f t="shared" si="12"/>
        <v>18592</v>
      </c>
      <c r="R82" s="41">
        <f t="shared" si="12"/>
        <v>30359</v>
      </c>
      <c r="S82" s="41">
        <f t="shared" si="12"/>
        <v>0</v>
      </c>
      <c r="T82" s="42">
        <f aca="true" t="shared" si="13" ref="T82:T145">SUM(C82:S82)</f>
        <v>7028178</v>
      </c>
      <c r="U82" s="43"/>
    </row>
    <row r="83" spans="1:21" ht="15">
      <c r="A83" s="127" t="s">
        <v>77</v>
      </c>
      <c r="B83" s="169" t="s">
        <v>78</v>
      </c>
      <c r="C83" s="129">
        <f>SUM(C84:C85)</f>
        <v>27173</v>
      </c>
      <c r="D83" s="129">
        <f aca="true" t="shared" si="14" ref="D83:S83">SUM(D84:D85)</f>
        <v>93690</v>
      </c>
      <c r="E83" s="129">
        <f t="shared" si="14"/>
        <v>0</v>
      </c>
      <c r="F83" s="129"/>
      <c r="G83" s="129">
        <f t="shared" si="14"/>
        <v>44969</v>
      </c>
      <c r="H83" s="129">
        <f t="shared" si="14"/>
        <v>1600</v>
      </c>
      <c r="I83" s="129">
        <f t="shared" si="14"/>
        <v>16105</v>
      </c>
      <c r="J83" s="129">
        <f t="shared" si="14"/>
        <v>28735</v>
      </c>
      <c r="K83" s="129">
        <f t="shared" si="14"/>
        <v>50457</v>
      </c>
      <c r="L83" s="129">
        <f t="shared" si="14"/>
        <v>20306</v>
      </c>
      <c r="M83" s="129">
        <f t="shared" si="14"/>
        <v>8000</v>
      </c>
      <c r="N83" s="129">
        <f t="shared" si="14"/>
        <v>0</v>
      </c>
      <c r="O83" s="129">
        <f>SUM(O84:O85)</f>
        <v>12000</v>
      </c>
      <c r="P83" s="129">
        <f>SUM(P84:P85)</f>
        <v>46800</v>
      </c>
      <c r="Q83" s="129">
        <f>SUM(Q84:Q85)</f>
        <v>0</v>
      </c>
      <c r="R83" s="129">
        <f t="shared" si="14"/>
        <v>0</v>
      </c>
      <c r="S83" s="129">
        <f t="shared" si="14"/>
        <v>0</v>
      </c>
      <c r="T83" s="47">
        <f t="shared" si="13"/>
        <v>349835</v>
      </c>
      <c r="U83" s="43"/>
    </row>
    <row r="84" spans="1:21" ht="30">
      <c r="A84" s="48" t="s">
        <v>198</v>
      </c>
      <c r="B84" s="49" t="s">
        <v>362</v>
      </c>
      <c r="C84" s="9">
        <v>7813</v>
      </c>
      <c r="D84" s="1">
        <f>86836+6854</f>
        <v>93690</v>
      </c>
      <c r="E84" s="1"/>
      <c r="F84" s="1"/>
      <c r="G84" s="1">
        <f>36669+8300</f>
        <v>44969</v>
      </c>
      <c r="H84" s="9">
        <v>1600</v>
      </c>
      <c r="I84" s="1">
        <v>16105</v>
      </c>
      <c r="J84" s="1">
        <v>28735</v>
      </c>
      <c r="K84" s="1">
        <v>50457</v>
      </c>
      <c r="L84" s="1">
        <v>20306</v>
      </c>
      <c r="M84" s="1">
        <f>6500+1500</f>
        <v>8000</v>
      </c>
      <c r="N84" s="1"/>
      <c r="O84" s="52">
        <v>12000</v>
      </c>
      <c r="P84" s="1">
        <v>46800</v>
      </c>
      <c r="Q84" s="1"/>
      <c r="R84" s="52"/>
      <c r="S84" s="9"/>
      <c r="T84" s="135">
        <f t="shared" si="13"/>
        <v>330475</v>
      </c>
      <c r="U84" s="43"/>
    </row>
    <row r="85" spans="1:21" ht="15">
      <c r="A85" s="48" t="s">
        <v>276</v>
      </c>
      <c r="B85" s="149" t="s">
        <v>401</v>
      </c>
      <c r="C85" s="9">
        <v>19360</v>
      </c>
      <c r="D85" s="9"/>
      <c r="E85" s="9"/>
      <c r="F85" s="9"/>
      <c r="G85" s="1"/>
      <c r="H85" s="4"/>
      <c r="I85" s="1"/>
      <c r="J85" s="1"/>
      <c r="K85" s="9"/>
      <c r="L85" s="1"/>
      <c r="M85" s="9"/>
      <c r="N85" s="1"/>
      <c r="O85" s="52"/>
      <c r="P85" s="1"/>
      <c r="Q85" s="1"/>
      <c r="R85" s="52"/>
      <c r="S85" s="9"/>
      <c r="T85" s="135">
        <f t="shared" si="13"/>
        <v>19360</v>
      </c>
      <c r="U85" s="43"/>
    </row>
    <row r="86" spans="1:21" ht="15">
      <c r="A86" s="136" t="s">
        <v>3</v>
      </c>
      <c r="B86" s="138" t="s">
        <v>79</v>
      </c>
      <c r="C86" s="14">
        <f>SUM(C87:C88)</f>
        <v>101393</v>
      </c>
      <c r="D86" s="14">
        <f>SUM(D87:D88)</f>
        <v>495528</v>
      </c>
      <c r="E86" s="14">
        <f>SUM(E87:E88)</f>
        <v>0</v>
      </c>
      <c r="F86" s="14"/>
      <c r="G86" s="87">
        <f>SUM(G87:G88)</f>
        <v>47682</v>
      </c>
      <c r="H86" s="89">
        <f aca="true" t="shared" si="15" ref="H86:S86">SUM(H87:H88)</f>
        <v>0</v>
      </c>
      <c r="I86" s="87">
        <f t="shared" si="15"/>
        <v>20843</v>
      </c>
      <c r="J86" s="87">
        <f t="shared" si="15"/>
        <v>9715</v>
      </c>
      <c r="K86" s="14">
        <f t="shared" si="15"/>
        <v>88314</v>
      </c>
      <c r="L86" s="14">
        <f t="shared" si="15"/>
        <v>7814</v>
      </c>
      <c r="M86" s="14">
        <f t="shared" si="15"/>
        <v>6581</v>
      </c>
      <c r="N86" s="87">
        <f t="shared" si="15"/>
        <v>0</v>
      </c>
      <c r="O86" s="87">
        <f>SUM(O87:O88)</f>
        <v>12254</v>
      </c>
      <c r="P86" s="89">
        <f>SUM(P87:P88)</f>
        <v>0</v>
      </c>
      <c r="Q86" s="89">
        <f>SUM(Q87:Q88)</f>
        <v>0</v>
      </c>
      <c r="R86" s="88">
        <f t="shared" si="15"/>
        <v>0</v>
      </c>
      <c r="S86" s="88">
        <f t="shared" si="15"/>
        <v>0</v>
      </c>
      <c r="T86" s="135">
        <f t="shared" si="13"/>
        <v>790124</v>
      </c>
      <c r="U86" s="43"/>
    </row>
    <row r="87" spans="1:21" ht="15">
      <c r="A87" s="48" t="s">
        <v>199</v>
      </c>
      <c r="B87" s="17" t="s">
        <v>402</v>
      </c>
      <c r="C87" s="9">
        <f>96248+5145</f>
        <v>101393</v>
      </c>
      <c r="D87" s="1">
        <v>28808</v>
      </c>
      <c r="E87" s="1"/>
      <c r="F87" s="1"/>
      <c r="G87" s="1"/>
      <c r="H87" s="4"/>
      <c r="I87" s="1"/>
      <c r="J87" s="1"/>
      <c r="K87" s="1"/>
      <c r="L87" s="1"/>
      <c r="M87" s="1"/>
      <c r="N87" s="1"/>
      <c r="O87" s="52"/>
      <c r="P87" s="1"/>
      <c r="Q87" s="1"/>
      <c r="R87" s="52"/>
      <c r="S87" s="9"/>
      <c r="T87" s="135">
        <f t="shared" si="13"/>
        <v>130201</v>
      </c>
      <c r="U87" s="43"/>
    </row>
    <row r="88" spans="1:21" ht="15">
      <c r="A88" s="177" t="s">
        <v>200</v>
      </c>
      <c r="B88" s="17" t="s">
        <v>403</v>
      </c>
      <c r="C88" s="9"/>
      <c r="D88" s="178">
        <f>332843+133877</f>
        <v>466720</v>
      </c>
      <c r="E88" s="1"/>
      <c r="F88" s="9"/>
      <c r="G88" s="9">
        <v>47682</v>
      </c>
      <c r="H88" s="1"/>
      <c r="I88" s="1">
        <v>20843</v>
      </c>
      <c r="J88" s="1">
        <v>9715</v>
      </c>
      <c r="K88" s="1">
        <v>88314</v>
      </c>
      <c r="L88" s="1">
        <v>7814</v>
      </c>
      <c r="M88" s="1">
        <f>5463+1118</f>
        <v>6581</v>
      </c>
      <c r="N88" s="1"/>
      <c r="O88" s="52">
        <v>12254</v>
      </c>
      <c r="P88" s="1"/>
      <c r="Q88" s="1"/>
      <c r="R88" s="52"/>
      <c r="S88" s="9"/>
      <c r="T88" s="135">
        <f t="shared" si="13"/>
        <v>659923</v>
      </c>
      <c r="U88" s="43"/>
    </row>
    <row r="89" spans="1:21" s="24" customFormat="1" ht="29.25">
      <c r="A89" s="136" t="s">
        <v>201</v>
      </c>
      <c r="B89" s="169" t="s">
        <v>202</v>
      </c>
      <c r="C89" s="129">
        <f>SUM(C90:C93)</f>
        <v>5787058</v>
      </c>
      <c r="D89" s="129">
        <f aca="true" t="shared" si="16" ref="D89:N89">SUM(D90:D93)</f>
        <v>0</v>
      </c>
      <c r="E89" s="129">
        <f t="shared" si="16"/>
        <v>0</v>
      </c>
      <c r="F89" s="129"/>
      <c r="G89" s="129">
        <f t="shared" si="16"/>
        <v>0</v>
      </c>
      <c r="H89" s="129">
        <f t="shared" si="16"/>
        <v>0</v>
      </c>
      <c r="I89" s="129">
        <f t="shared" si="16"/>
        <v>0</v>
      </c>
      <c r="J89" s="129">
        <f t="shared" si="16"/>
        <v>0</v>
      </c>
      <c r="K89" s="129">
        <f t="shared" si="16"/>
        <v>0</v>
      </c>
      <c r="L89" s="129">
        <f t="shared" si="16"/>
        <v>0</v>
      </c>
      <c r="M89" s="129">
        <f t="shared" si="16"/>
        <v>691</v>
      </c>
      <c r="N89" s="129">
        <f t="shared" si="16"/>
        <v>0</v>
      </c>
      <c r="O89" s="129">
        <f>SUM(O90:O93)</f>
        <v>0</v>
      </c>
      <c r="P89" s="129">
        <f>SUM(P90:P94)</f>
        <v>0</v>
      </c>
      <c r="Q89" s="129">
        <f>SUM(Q90:Q94)</f>
        <v>18592</v>
      </c>
      <c r="R89" s="129">
        <f>SUM(R90:R94)</f>
        <v>30359</v>
      </c>
      <c r="S89" s="129">
        <f>SUM(S90:S94)</f>
        <v>0</v>
      </c>
      <c r="T89" s="135">
        <f t="shared" si="13"/>
        <v>5836700</v>
      </c>
      <c r="U89" s="43"/>
    </row>
    <row r="90" spans="1:21" s="24" customFormat="1" ht="15">
      <c r="A90" s="48" t="s">
        <v>301</v>
      </c>
      <c r="B90" s="179" t="s">
        <v>352</v>
      </c>
      <c r="C90" s="11">
        <f>64753+7183</f>
        <v>71936</v>
      </c>
      <c r="D90" s="129"/>
      <c r="E90" s="129"/>
      <c r="F90" s="129"/>
      <c r="G90" s="129"/>
      <c r="H90" s="84"/>
      <c r="I90" s="129"/>
      <c r="J90" s="129"/>
      <c r="K90" s="129"/>
      <c r="L90" s="129"/>
      <c r="M90" s="129">
        <v>691</v>
      </c>
      <c r="N90" s="129"/>
      <c r="O90" s="129"/>
      <c r="P90" s="129"/>
      <c r="Q90" s="129"/>
      <c r="R90" s="129"/>
      <c r="S90" s="14"/>
      <c r="T90" s="135">
        <f t="shared" si="13"/>
        <v>72627</v>
      </c>
      <c r="U90" s="43"/>
    </row>
    <row r="91" spans="1:21" s="24" customFormat="1" ht="31.5">
      <c r="A91" s="165" t="s">
        <v>363</v>
      </c>
      <c r="B91" s="2" t="s">
        <v>364</v>
      </c>
      <c r="C91" s="11">
        <f>4355129+48399+20161</f>
        <v>4423689</v>
      </c>
      <c r="D91" s="129"/>
      <c r="E91" s="129"/>
      <c r="F91" s="129"/>
      <c r="G91" s="129"/>
      <c r="H91" s="84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4"/>
      <c r="T91" s="135">
        <f t="shared" si="13"/>
        <v>4423689</v>
      </c>
      <c r="U91" s="43"/>
    </row>
    <row r="92" spans="1:21" s="24" customFormat="1" ht="60">
      <c r="A92" s="165" t="s">
        <v>518</v>
      </c>
      <c r="B92" s="163" t="s">
        <v>519</v>
      </c>
      <c r="C92" s="11">
        <f>848717+6920</f>
        <v>855637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4"/>
      <c r="T92" s="135">
        <f t="shared" si="13"/>
        <v>855637</v>
      </c>
      <c r="U92" s="43"/>
    </row>
    <row r="93" spans="1:21" s="24" customFormat="1" ht="45">
      <c r="A93" s="165" t="s">
        <v>520</v>
      </c>
      <c r="B93" s="179" t="s">
        <v>521</v>
      </c>
      <c r="C93" s="11">
        <f>510528-74732</f>
        <v>435796</v>
      </c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4"/>
      <c r="T93" s="135">
        <f t="shared" si="13"/>
        <v>435796</v>
      </c>
      <c r="U93" s="43"/>
    </row>
    <row r="94" spans="1:21" s="24" customFormat="1" ht="30">
      <c r="A94" s="157" t="s">
        <v>201</v>
      </c>
      <c r="B94" s="179" t="s">
        <v>202</v>
      </c>
      <c r="C94" s="11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1">
        <v>18592</v>
      </c>
      <c r="R94" s="11">
        <v>30359</v>
      </c>
      <c r="S94" s="14"/>
      <c r="T94" s="135">
        <f t="shared" si="13"/>
        <v>48951</v>
      </c>
      <c r="U94" s="43"/>
    </row>
    <row r="95" spans="1:21" ht="29.25">
      <c r="A95" s="127" t="s">
        <v>203</v>
      </c>
      <c r="B95" s="169" t="s">
        <v>204</v>
      </c>
      <c r="C95" s="129">
        <f>C96</f>
        <v>42519</v>
      </c>
      <c r="D95" s="129">
        <f aca="true" t="shared" si="17" ref="D95:S95">D96</f>
        <v>0</v>
      </c>
      <c r="E95" s="129">
        <f t="shared" si="17"/>
        <v>0</v>
      </c>
      <c r="F95" s="129"/>
      <c r="G95" s="129">
        <f t="shared" si="17"/>
        <v>0</v>
      </c>
      <c r="H95" s="129">
        <f t="shared" si="17"/>
        <v>9000</v>
      </c>
      <c r="I95" s="129">
        <f t="shared" si="17"/>
        <v>0</v>
      </c>
      <c r="J95" s="129">
        <f t="shared" si="17"/>
        <v>0</v>
      </c>
      <c r="K95" s="129">
        <f t="shared" si="17"/>
        <v>0</v>
      </c>
      <c r="L95" s="129">
        <f t="shared" si="17"/>
        <v>0</v>
      </c>
      <c r="M95" s="129">
        <f t="shared" si="17"/>
        <v>0</v>
      </c>
      <c r="N95" s="129">
        <f t="shared" si="17"/>
        <v>0</v>
      </c>
      <c r="O95" s="129">
        <f t="shared" si="17"/>
        <v>0</v>
      </c>
      <c r="P95" s="129">
        <f t="shared" si="17"/>
        <v>0</v>
      </c>
      <c r="Q95" s="129">
        <f t="shared" si="17"/>
        <v>0</v>
      </c>
      <c r="R95" s="129">
        <f t="shared" si="17"/>
        <v>0</v>
      </c>
      <c r="S95" s="129">
        <f t="shared" si="17"/>
        <v>0</v>
      </c>
      <c r="T95" s="135">
        <f t="shared" si="13"/>
        <v>51519</v>
      </c>
      <c r="U95" s="43"/>
    </row>
    <row r="96" spans="1:21" s="24" customFormat="1" ht="30" customHeight="1" thickBot="1">
      <c r="A96" s="180" t="s">
        <v>302</v>
      </c>
      <c r="B96" s="164" t="s">
        <v>404</v>
      </c>
      <c r="C96" s="11">
        <f>34752+7685+82</f>
        <v>42519</v>
      </c>
      <c r="D96" s="129"/>
      <c r="E96" s="129"/>
      <c r="F96" s="129"/>
      <c r="G96" s="129"/>
      <c r="H96" s="46">
        <v>9000</v>
      </c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81"/>
      <c r="T96" s="175">
        <f t="shared" si="13"/>
        <v>51519</v>
      </c>
      <c r="U96" s="43"/>
    </row>
    <row r="97" spans="1:21" ht="30" thickBot="1">
      <c r="A97" s="76" t="s">
        <v>4</v>
      </c>
      <c r="B97" s="176" t="s">
        <v>80</v>
      </c>
      <c r="C97" s="41">
        <f>SUM(C98:C103)</f>
        <v>4309243</v>
      </c>
      <c r="D97" s="41">
        <f>SUM(D98:D103)</f>
        <v>2522881</v>
      </c>
      <c r="E97" s="41">
        <f>SUM(E98:E103)</f>
        <v>0</v>
      </c>
      <c r="F97" s="41"/>
      <c r="G97" s="41">
        <f aca="true" t="shared" si="18" ref="G97:S97">SUM(G98:G103)</f>
        <v>303491</v>
      </c>
      <c r="H97" s="41">
        <f t="shared" si="18"/>
        <v>94920</v>
      </c>
      <c r="I97" s="41">
        <f t="shared" si="18"/>
        <v>177075</v>
      </c>
      <c r="J97" s="41">
        <f t="shared" si="18"/>
        <v>190022</v>
      </c>
      <c r="K97" s="41">
        <f t="shared" si="18"/>
        <v>362380</v>
      </c>
      <c r="L97" s="41">
        <f t="shared" si="18"/>
        <v>118208</v>
      </c>
      <c r="M97" s="41">
        <f t="shared" si="18"/>
        <v>104848</v>
      </c>
      <c r="N97" s="41">
        <f t="shared" si="18"/>
        <v>123478</v>
      </c>
      <c r="O97" s="41">
        <f t="shared" si="18"/>
        <v>108898</v>
      </c>
      <c r="P97" s="41">
        <f t="shared" si="18"/>
        <v>1768702</v>
      </c>
      <c r="Q97" s="41">
        <f t="shared" si="18"/>
        <v>2275123</v>
      </c>
      <c r="R97" s="41">
        <f t="shared" si="18"/>
        <v>2021643</v>
      </c>
      <c r="S97" s="41">
        <f t="shared" si="18"/>
        <v>0</v>
      </c>
      <c r="T97" s="42">
        <f t="shared" si="13"/>
        <v>14480912</v>
      </c>
      <c r="U97" s="43"/>
    </row>
    <row r="98" spans="1:21" ht="15">
      <c r="A98" s="136" t="s">
        <v>303</v>
      </c>
      <c r="B98" s="138" t="s">
        <v>205</v>
      </c>
      <c r="C98" s="9">
        <f>76020+8289</f>
        <v>84309</v>
      </c>
      <c r="D98" s="87"/>
      <c r="E98" s="1"/>
      <c r="F98" s="9"/>
      <c r="G98" s="9"/>
      <c r="H98" s="1"/>
      <c r="I98" s="1"/>
      <c r="J98" s="1"/>
      <c r="K98" s="1"/>
      <c r="L98" s="1"/>
      <c r="M98" s="1"/>
      <c r="N98" s="1"/>
      <c r="O98" s="9"/>
      <c r="P98" s="9"/>
      <c r="Q98" s="9">
        <f>146126-21200</f>
        <v>124926</v>
      </c>
      <c r="R98" s="9">
        <v>95545</v>
      </c>
      <c r="S98" s="9"/>
      <c r="T98" s="135">
        <f t="shared" si="13"/>
        <v>304780</v>
      </c>
      <c r="U98" s="43"/>
    </row>
    <row r="99" spans="1:21" ht="15">
      <c r="A99" s="136" t="s">
        <v>81</v>
      </c>
      <c r="B99" s="138" t="s">
        <v>82</v>
      </c>
      <c r="C99" s="9"/>
      <c r="D99" s="1">
        <f>249745+194521</f>
        <v>444266</v>
      </c>
      <c r="E99" s="1"/>
      <c r="F99" s="1"/>
      <c r="G99" s="1">
        <v>25138</v>
      </c>
      <c r="H99" s="4"/>
      <c r="I99" s="1"/>
      <c r="J99" s="1"/>
      <c r="K99" s="1"/>
      <c r="L99" s="1"/>
      <c r="M99" s="1"/>
      <c r="N99" s="1"/>
      <c r="O99" s="9"/>
      <c r="P99" s="9"/>
      <c r="Q99" s="9"/>
      <c r="R99" s="9"/>
      <c r="S99" s="9"/>
      <c r="T99" s="135">
        <f t="shared" si="13"/>
        <v>469404</v>
      </c>
      <c r="U99" s="43"/>
    </row>
    <row r="100" spans="1:21" ht="15">
      <c r="A100" s="136" t="s">
        <v>365</v>
      </c>
      <c r="B100" s="17" t="s">
        <v>366</v>
      </c>
      <c r="C100" s="9"/>
      <c r="D100" s="87"/>
      <c r="E100" s="1"/>
      <c r="F100" s="1"/>
      <c r="G100" s="1"/>
      <c r="H100" s="4"/>
      <c r="I100" s="1">
        <v>24203</v>
      </c>
      <c r="J100" s="1">
        <v>14207</v>
      </c>
      <c r="K100" s="1">
        <v>43177</v>
      </c>
      <c r="L100" s="1">
        <f>10429</f>
        <v>10429</v>
      </c>
      <c r="M100" s="1">
        <f>4670+500</f>
        <v>5170</v>
      </c>
      <c r="N100" s="90">
        <v>96435</v>
      </c>
      <c r="O100" s="52">
        <v>4630</v>
      </c>
      <c r="P100" s="90"/>
      <c r="Q100" s="90"/>
      <c r="R100" s="52"/>
      <c r="S100" s="9"/>
      <c r="T100" s="135">
        <f t="shared" si="13"/>
        <v>198251</v>
      </c>
      <c r="U100" s="43"/>
    </row>
    <row r="101" spans="1:21" ht="30">
      <c r="A101" s="136" t="s">
        <v>533</v>
      </c>
      <c r="B101" s="17" t="s">
        <v>536</v>
      </c>
      <c r="C101" s="9">
        <v>100000</v>
      </c>
      <c r="D101" s="87"/>
      <c r="E101" s="1"/>
      <c r="F101" s="1"/>
      <c r="G101" s="1"/>
      <c r="H101" s="52"/>
      <c r="I101" s="1"/>
      <c r="J101" s="1"/>
      <c r="K101" s="1"/>
      <c r="L101" s="1"/>
      <c r="M101" s="1"/>
      <c r="N101" s="90"/>
      <c r="O101" s="52"/>
      <c r="P101" s="90"/>
      <c r="Q101" s="90"/>
      <c r="R101" s="52"/>
      <c r="S101" s="9"/>
      <c r="T101" s="135">
        <f t="shared" si="13"/>
        <v>100000</v>
      </c>
      <c r="U101" s="43"/>
    </row>
    <row r="102" spans="1:21" ht="15">
      <c r="A102" s="136" t="s">
        <v>83</v>
      </c>
      <c r="B102" s="138" t="s">
        <v>84</v>
      </c>
      <c r="C102" s="14">
        <v>705089</v>
      </c>
      <c r="D102" s="87"/>
      <c r="E102" s="1"/>
      <c r="F102" s="1"/>
      <c r="G102" s="1"/>
      <c r="H102" s="9">
        <v>6400</v>
      </c>
      <c r="I102" s="1">
        <v>1200</v>
      </c>
      <c r="J102" s="1"/>
      <c r="K102" s="1">
        <v>39404</v>
      </c>
      <c r="L102" s="1"/>
      <c r="M102" s="1"/>
      <c r="N102" s="90">
        <v>1700</v>
      </c>
      <c r="O102" s="9"/>
      <c r="P102" s="162">
        <v>29000</v>
      </c>
      <c r="Q102" s="162">
        <v>62292</v>
      </c>
      <c r="R102" s="9">
        <v>281541</v>
      </c>
      <c r="S102" s="9"/>
      <c r="T102" s="135">
        <f t="shared" si="13"/>
        <v>1126626</v>
      </c>
      <c r="U102" s="43"/>
    </row>
    <row r="103" spans="1:21" ht="43.5">
      <c r="A103" s="136" t="s">
        <v>85</v>
      </c>
      <c r="B103" s="138" t="s">
        <v>86</v>
      </c>
      <c r="C103" s="14">
        <f>SUM(C104:C134)</f>
        <v>3419845</v>
      </c>
      <c r="D103" s="14">
        <f>SUM(D104:D134)</f>
        <v>2078615</v>
      </c>
      <c r="E103" s="14">
        <f>SUM(E104:E134)</f>
        <v>0</v>
      </c>
      <c r="F103" s="14"/>
      <c r="G103" s="14">
        <f aca="true" t="shared" si="19" ref="G103:S103">SUM(G104:G134)</f>
        <v>278353</v>
      </c>
      <c r="H103" s="14">
        <f t="shared" si="19"/>
        <v>88520</v>
      </c>
      <c r="I103" s="14">
        <f t="shared" si="19"/>
        <v>151672</v>
      </c>
      <c r="J103" s="14">
        <f t="shared" si="19"/>
        <v>175815</v>
      </c>
      <c r="K103" s="14">
        <f t="shared" si="19"/>
        <v>279799</v>
      </c>
      <c r="L103" s="14">
        <f t="shared" si="19"/>
        <v>107779</v>
      </c>
      <c r="M103" s="14">
        <f t="shared" si="19"/>
        <v>99678</v>
      </c>
      <c r="N103" s="14">
        <f t="shared" si="19"/>
        <v>25343</v>
      </c>
      <c r="O103" s="14">
        <f t="shared" si="19"/>
        <v>104268</v>
      </c>
      <c r="P103" s="14">
        <f t="shared" si="19"/>
        <v>1739702</v>
      </c>
      <c r="Q103" s="14">
        <f t="shared" si="19"/>
        <v>2087905</v>
      </c>
      <c r="R103" s="14">
        <f t="shared" si="19"/>
        <v>1644557</v>
      </c>
      <c r="S103" s="14">
        <f t="shared" si="19"/>
        <v>0</v>
      </c>
      <c r="T103" s="135">
        <f t="shared" si="13"/>
        <v>12281851</v>
      </c>
      <c r="U103" s="43"/>
    </row>
    <row r="104" spans="1:21" ht="15">
      <c r="A104" s="48" t="s">
        <v>206</v>
      </c>
      <c r="B104" s="17" t="s">
        <v>405</v>
      </c>
      <c r="C104" s="9">
        <v>62884</v>
      </c>
      <c r="D104" s="1">
        <f>2071266+2972-30361</f>
        <v>2043877</v>
      </c>
      <c r="E104" s="1"/>
      <c r="F104" s="1"/>
      <c r="G104" s="1">
        <v>104720</v>
      </c>
      <c r="H104" s="91"/>
      <c r="I104" s="46">
        <v>20700</v>
      </c>
      <c r="J104" s="1">
        <v>13530</v>
      </c>
      <c r="K104" s="1"/>
      <c r="L104" s="1"/>
      <c r="M104" s="1"/>
      <c r="N104" s="1"/>
      <c r="O104" s="1"/>
      <c r="P104" s="1"/>
      <c r="Q104" s="1">
        <f>241356-1323</f>
        <v>240033</v>
      </c>
      <c r="R104" s="9"/>
      <c r="S104" s="9"/>
      <c r="T104" s="135">
        <f t="shared" si="13"/>
        <v>2485744</v>
      </c>
      <c r="U104" s="43"/>
    </row>
    <row r="105" spans="1:21" ht="15">
      <c r="A105" s="48" t="s">
        <v>207</v>
      </c>
      <c r="B105" s="17" t="s">
        <v>406</v>
      </c>
      <c r="C105" s="9"/>
      <c r="D105" s="1"/>
      <c r="E105" s="1"/>
      <c r="F105" s="1"/>
      <c r="G105" s="1">
        <v>173633</v>
      </c>
      <c r="H105" s="91"/>
      <c r="I105" s="1">
        <v>77223</v>
      </c>
      <c r="J105" s="1">
        <v>86707</v>
      </c>
      <c r="K105" s="1">
        <v>147400</v>
      </c>
      <c r="L105" s="1"/>
      <c r="M105" s="1"/>
      <c r="N105" s="1"/>
      <c r="O105" s="9"/>
      <c r="P105" s="9"/>
      <c r="Q105" s="9"/>
      <c r="R105" s="9"/>
      <c r="S105" s="9"/>
      <c r="T105" s="135">
        <f t="shared" si="13"/>
        <v>484963</v>
      </c>
      <c r="U105" s="43"/>
    </row>
    <row r="106" spans="1:21" ht="15">
      <c r="A106" s="48" t="s">
        <v>208</v>
      </c>
      <c r="B106" s="17" t="s">
        <v>407</v>
      </c>
      <c r="C106" s="9">
        <v>10456</v>
      </c>
      <c r="D106" s="1">
        <f>17547+17191</f>
        <v>34738</v>
      </c>
      <c r="E106" s="1"/>
      <c r="F106" s="9"/>
      <c r="G106" s="9"/>
      <c r="H106" s="9">
        <v>10586</v>
      </c>
      <c r="I106" s="1"/>
      <c r="J106" s="1"/>
      <c r="K106" s="1">
        <v>13489</v>
      </c>
      <c r="L106" s="1">
        <v>6469</v>
      </c>
      <c r="M106" s="1"/>
      <c r="N106" s="1">
        <v>5050</v>
      </c>
      <c r="O106" s="9"/>
      <c r="P106" s="9"/>
      <c r="Q106" s="9">
        <f>40886+288</f>
        <v>41174</v>
      </c>
      <c r="R106" s="9"/>
      <c r="S106" s="9"/>
      <c r="T106" s="135">
        <f t="shared" si="13"/>
        <v>121962</v>
      </c>
      <c r="U106" s="43"/>
    </row>
    <row r="107" spans="1:21" ht="30">
      <c r="A107" s="48" t="s">
        <v>209</v>
      </c>
      <c r="B107" s="17" t="s">
        <v>304</v>
      </c>
      <c r="C107" s="11">
        <v>43600</v>
      </c>
      <c r="D107" s="1"/>
      <c r="E107" s="1"/>
      <c r="F107" s="9"/>
      <c r="G107" s="9"/>
      <c r="H107" s="1"/>
      <c r="I107" s="1"/>
      <c r="J107" s="1"/>
      <c r="K107" s="1"/>
      <c r="L107" s="1"/>
      <c r="M107" s="1"/>
      <c r="N107" s="1">
        <v>1495</v>
      </c>
      <c r="O107" s="9"/>
      <c r="P107" s="9"/>
      <c r="Q107" s="9"/>
      <c r="R107" s="9"/>
      <c r="S107" s="9"/>
      <c r="T107" s="135">
        <f t="shared" si="13"/>
        <v>45095</v>
      </c>
      <c r="U107" s="43"/>
    </row>
    <row r="108" spans="1:21" ht="30">
      <c r="A108" s="48" t="s">
        <v>210</v>
      </c>
      <c r="B108" s="164" t="s">
        <v>408</v>
      </c>
      <c r="C108" s="11">
        <f>65000+302</f>
        <v>65302</v>
      </c>
      <c r="D108" s="1"/>
      <c r="E108" s="1"/>
      <c r="F108" s="9"/>
      <c r="G108" s="9"/>
      <c r="H108" s="9">
        <v>5417</v>
      </c>
      <c r="I108" s="1"/>
      <c r="J108" s="1">
        <v>2739</v>
      </c>
      <c r="K108" s="1">
        <v>4679</v>
      </c>
      <c r="L108" s="1"/>
      <c r="M108" s="1"/>
      <c r="N108" s="1"/>
      <c r="O108" s="9"/>
      <c r="P108" s="9"/>
      <c r="Q108" s="9"/>
      <c r="R108" s="9"/>
      <c r="S108" s="9"/>
      <c r="T108" s="135">
        <f t="shared" si="13"/>
        <v>78137</v>
      </c>
      <c r="U108" s="43"/>
    </row>
    <row r="109" spans="1:21" ht="15">
      <c r="A109" s="48" t="s">
        <v>211</v>
      </c>
      <c r="B109" s="182" t="s">
        <v>409</v>
      </c>
      <c r="C109" s="9">
        <f>64467+39000</f>
        <v>103467</v>
      </c>
      <c r="D109" s="9"/>
      <c r="E109" s="9"/>
      <c r="F109" s="9"/>
      <c r="G109" s="9"/>
      <c r="H109" s="9">
        <f>4630+8000</f>
        <v>12630</v>
      </c>
      <c r="I109" s="1"/>
      <c r="J109" s="1">
        <v>72839</v>
      </c>
      <c r="K109" s="1"/>
      <c r="L109" s="1">
        <f>80708-46</f>
        <v>80662</v>
      </c>
      <c r="M109" s="1"/>
      <c r="N109" s="90">
        <v>11848</v>
      </c>
      <c r="O109" s="9"/>
      <c r="P109" s="162"/>
      <c r="Q109" s="162">
        <v>233480</v>
      </c>
      <c r="R109" s="9"/>
      <c r="S109" s="9"/>
      <c r="T109" s="135">
        <f t="shared" si="13"/>
        <v>514926</v>
      </c>
      <c r="U109" s="43"/>
    </row>
    <row r="110" spans="1:21" ht="17.25" customHeight="1">
      <c r="A110" s="48" t="s">
        <v>212</v>
      </c>
      <c r="B110" s="17" t="s">
        <v>410</v>
      </c>
      <c r="C110" s="1">
        <v>3000</v>
      </c>
      <c r="D110" s="1"/>
      <c r="E110" s="1"/>
      <c r="F110" s="9"/>
      <c r="G110" s="9"/>
      <c r="H110" s="1"/>
      <c r="I110" s="1"/>
      <c r="J110" s="1"/>
      <c r="K110" s="1"/>
      <c r="L110" s="1"/>
      <c r="M110" s="1"/>
      <c r="N110" s="1"/>
      <c r="O110" s="9"/>
      <c r="P110" s="9"/>
      <c r="Q110" s="9">
        <v>12000</v>
      </c>
      <c r="R110" s="9"/>
      <c r="S110" s="9"/>
      <c r="T110" s="135">
        <f t="shared" si="13"/>
        <v>15000</v>
      </c>
      <c r="U110" s="43"/>
    </row>
    <row r="111" spans="1:21" ht="15">
      <c r="A111" s="48" t="s">
        <v>213</v>
      </c>
      <c r="B111" s="17" t="s">
        <v>411</v>
      </c>
      <c r="C111" s="9"/>
      <c r="D111" s="9"/>
      <c r="E111" s="9"/>
      <c r="F111" s="9"/>
      <c r="G111" s="9"/>
      <c r="H111" s="1"/>
      <c r="I111" s="1">
        <v>53749</v>
      </c>
      <c r="J111" s="1"/>
      <c r="K111" s="1">
        <v>114231</v>
      </c>
      <c r="L111" s="1">
        <v>20648</v>
      </c>
      <c r="M111" s="1">
        <f>100865-1187</f>
        <v>99678</v>
      </c>
      <c r="N111" s="1"/>
      <c r="O111" s="52">
        <v>104268</v>
      </c>
      <c r="P111" s="1"/>
      <c r="Q111" s="1"/>
      <c r="R111" s="52">
        <v>570923</v>
      </c>
      <c r="S111" s="9"/>
      <c r="T111" s="135">
        <f t="shared" si="13"/>
        <v>963497</v>
      </c>
      <c r="U111" s="43"/>
    </row>
    <row r="112" spans="1:21" ht="15">
      <c r="A112" s="48" t="s">
        <v>311</v>
      </c>
      <c r="B112" s="164" t="s">
        <v>305</v>
      </c>
      <c r="C112" s="1">
        <f>344682+1857-600+218000+400</f>
        <v>564339</v>
      </c>
      <c r="D112" s="1"/>
      <c r="E112" s="1"/>
      <c r="F112" s="1"/>
      <c r="G112" s="1"/>
      <c r="H112" s="1">
        <f>62457-8000</f>
        <v>54457</v>
      </c>
      <c r="I112" s="1"/>
      <c r="J112" s="1"/>
      <c r="K112" s="1"/>
      <c r="L112" s="1"/>
      <c r="M112" s="1"/>
      <c r="N112" s="1">
        <v>6950</v>
      </c>
      <c r="O112" s="9"/>
      <c r="P112" s="9"/>
      <c r="Q112" s="9">
        <f>179343+5950</f>
        <v>185293</v>
      </c>
      <c r="R112" s="9">
        <v>146825</v>
      </c>
      <c r="S112" s="9"/>
      <c r="T112" s="135">
        <f t="shared" si="13"/>
        <v>957864</v>
      </c>
      <c r="U112" s="43"/>
    </row>
    <row r="113" spans="1:21" ht="30">
      <c r="A113" s="165" t="s">
        <v>350</v>
      </c>
      <c r="B113" s="13" t="s">
        <v>353</v>
      </c>
      <c r="C113" s="9">
        <f>1372662+12974</f>
        <v>1385636</v>
      </c>
      <c r="D113" s="9"/>
      <c r="E113" s="9"/>
      <c r="F113" s="9"/>
      <c r="G113" s="9"/>
      <c r="H113" s="1"/>
      <c r="I113" s="1"/>
      <c r="J113" s="1"/>
      <c r="K113" s="1"/>
      <c r="L113" s="9"/>
      <c r="M113" s="1"/>
      <c r="N113" s="1"/>
      <c r="O113" s="9"/>
      <c r="P113" s="9"/>
      <c r="Q113" s="9"/>
      <c r="R113" s="9"/>
      <c r="S113" s="9"/>
      <c r="T113" s="135">
        <f t="shared" si="13"/>
        <v>1385636</v>
      </c>
      <c r="U113" s="43"/>
    </row>
    <row r="114" spans="1:21" ht="15.75">
      <c r="A114" s="165" t="s">
        <v>412</v>
      </c>
      <c r="B114" s="2" t="s">
        <v>413</v>
      </c>
      <c r="C114" s="9">
        <f>29434+332</f>
        <v>29766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35">
        <f t="shared" si="13"/>
        <v>29766</v>
      </c>
      <c r="U114" s="43"/>
    </row>
    <row r="115" spans="1:21" ht="15.75">
      <c r="A115" s="165" t="s">
        <v>414</v>
      </c>
      <c r="B115" s="2" t="s">
        <v>678</v>
      </c>
      <c r="C115" s="9">
        <f>54450+213</f>
        <v>54663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35">
        <f t="shared" si="13"/>
        <v>54663</v>
      </c>
      <c r="U115" s="43"/>
    </row>
    <row r="116" spans="1:21" ht="15.75">
      <c r="A116" s="165" t="s">
        <v>415</v>
      </c>
      <c r="B116" s="250" t="s">
        <v>679</v>
      </c>
      <c r="C116" s="9">
        <f>40000+583332</f>
        <v>623332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35">
        <f t="shared" si="13"/>
        <v>623332</v>
      </c>
      <c r="U116" s="43"/>
    </row>
    <row r="117" spans="1:21" ht="15.75">
      <c r="A117" s="165" t="s">
        <v>463</v>
      </c>
      <c r="B117" s="250" t="s">
        <v>464</v>
      </c>
      <c r="C117" s="9"/>
      <c r="D117" s="9"/>
      <c r="E117" s="9"/>
      <c r="F117" s="9"/>
      <c r="G117" s="9"/>
      <c r="H117" s="9">
        <v>5430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35">
        <f t="shared" si="13"/>
        <v>5430</v>
      </c>
      <c r="U117" s="43"/>
    </row>
    <row r="118" spans="1:21" ht="15">
      <c r="A118" s="165" t="s">
        <v>522</v>
      </c>
      <c r="B118" s="184" t="s">
        <v>523</v>
      </c>
      <c r="C118" s="9">
        <v>100000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35">
        <f t="shared" si="13"/>
        <v>100000</v>
      </c>
      <c r="U118" s="43"/>
    </row>
    <row r="119" spans="1:21" ht="45">
      <c r="A119" s="165" t="s">
        <v>531</v>
      </c>
      <c r="B119" s="184" t="s">
        <v>532</v>
      </c>
      <c r="C119" s="9">
        <v>20000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"/>
      <c r="R119" s="9"/>
      <c r="S119" s="9"/>
      <c r="T119" s="135">
        <f t="shared" si="13"/>
        <v>20000</v>
      </c>
      <c r="U119" s="43"/>
    </row>
    <row r="120" spans="1:21" ht="30">
      <c r="A120" s="183" t="s">
        <v>615</v>
      </c>
      <c r="B120" s="184" t="s">
        <v>618</v>
      </c>
      <c r="C120" s="1">
        <f>300390+53010</f>
        <v>353400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9"/>
      <c r="S120" s="9"/>
      <c r="T120" s="135">
        <f t="shared" si="13"/>
        <v>353400</v>
      </c>
      <c r="U120" s="43"/>
    </row>
    <row r="121" spans="1:21" ht="15">
      <c r="A121" s="183" t="s">
        <v>85</v>
      </c>
      <c r="B121" s="184" t="s">
        <v>640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>
        <v>1265610</v>
      </c>
      <c r="Q121" s="1"/>
      <c r="R121" s="9"/>
      <c r="S121" s="9"/>
      <c r="T121" s="135">
        <f t="shared" si="13"/>
        <v>1265610</v>
      </c>
      <c r="U121" s="43"/>
    </row>
    <row r="122" spans="1:21" ht="15">
      <c r="A122" s="183" t="s">
        <v>650</v>
      </c>
      <c r="B122" s="184" t="s">
        <v>641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>
        <v>197494</v>
      </c>
      <c r="Q122" s="1"/>
      <c r="R122" s="9"/>
      <c r="S122" s="9"/>
      <c r="T122" s="135">
        <f t="shared" si="13"/>
        <v>197494</v>
      </c>
      <c r="U122" s="43"/>
    </row>
    <row r="123" spans="1:21" ht="15">
      <c r="A123" s="183" t="s">
        <v>650</v>
      </c>
      <c r="B123" s="184" t="s">
        <v>257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>
        <v>102890</v>
      </c>
      <c r="Q123" s="1"/>
      <c r="R123" s="9"/>
      <c r="S123" s="9"/>
      <c r="T123" s="135">
        <f t="shared" si="13"/>
        <v>102890</v>
      </c>
      <c r="U123" s="43"/>
    </row>
    <row r="124" spans="1:21" ht="15">
      <c r="A124" s="185" t="s">
        <v>650</v>
      </c>
      <c r="B124" s="186" t="s">
        <v>642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>104225+69483</f>
        <v>173708</v>
      </c>
      <c r="Q124" s="12"/>
      <c r="R124" s="9"/>
      <c r="S124" s="9"/>
      <c r="T124" s="135">
        <f t="shared" si="13"/>
        <v>173708</v>
      </c>
      <c r="U124" s="43"/>
    </row>
    <row r="125" spans="1:21" ht="51.75">
      <c r="A125" s="183" t="s">
        <v>85</v>
      </c>
      <c r="B125" s="187" t="s">
        <v>574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v>70000</v>
      </c>
      <c r="R125" s="9"/>
      <c r="S125" s="9"/>
      <c r="T125" s="135">
        <f t="shared" si="13"/>
        <v>70000</v>
      </c>
      <c r="U125" s="43"/>
    </row>
    <row r="126" spans="1:21" ht="15">
      <c r="A126" s="183" t="s">
        <v>650</v>
      </c>
      <c r="B126" s="187" t="s">
        <v>575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v>113050</v>
      </c>
      <c r="R126" s="9"/>
      <c r="S126" s="9"/>
      <c r="T126" s="135">
        <f t="shared" si="13"/>
        <v>113050</v>
      </c>
      <c r="U126" s="43"/>
    </row>
    <row r="127" spans="1:21" ht="39">
      <c r="A127" s="183" t="s">
        <v>85</v>
      </c>
      <c r="B127" s="187" t="s">
        <v>576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v>70000</v>
      </c>
      <c r="R127" s="9"/>
      <c r="S127" s="9"/>
      <c r="T127" s="135">
        <f t="shared" si="13"/>
        <v>70000</v>
      </c>
      <c r="U127" s="43"/>
    </row>
    <row r="128" spans="1:21" ht="15">
      <c r="A128" s="183" t="s">
        <v>85</v>
      </c>
      <c r="B128" s="187" t="s">
        <v>577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v>165463</v>
      </c>
      <c r="R128" s="9"/>
      <c r="S128" s="9"/>
      <c r="T128" s="135">
        <f t="shared" si="13"/>
        <v>165463</v>
      </c>
      <c r="U128" s="43"/>
    </row>
    <row r="129" spans="1:21" ht="39">
      <c r="A129" s="183" t="s">
        <v>85</v>
      </c>
      <c r="B129" s="187" t="s">
        <v>578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v>145000</v>
      </c>
      <c r="R129" s="9"/>
      <c r="S129" s="9"/>
      <c r="T129" s="135">
        <f t="shared" si="13"/>
        <v>145000</v>
      </c>
      <c r="U129" s="43"/>
    </row>
    <row r="130" spans="1:21" ht="15">
      <c r="A130" s="183" t="s">
        <v>85</v>
      </c>
      <c r="B130" s="187" t="s">
        <v>579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v>42463</v>
      </c>
      <c r="R130" s="9"/>
      <c r="S130" s="9"/>
      <c r="T130" s="135">
        <f t="shared" si="13"/>
        <v>42463</v>
      </c>
      <c r="U130" s="43"/>
    </row>
    <row r="131" spans="1:21" ht="39">
      <c r="A131" s="183" t="s">
        <v>85</v>
      </c>
      <c r="B131" s="187" t="s">
        <v>580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6">
        <v>285395</v>
      </c>
      <c r="R131" s="9"/>
      <c r="S131" s="9"/>
      <c r="T131" s="135">
        <f t="shared" si="13"/>
        <v>285395</v>
      </c>
      <c r="U131" s="43"/>
    </row>
    <row r="132" spans="1:21" ht="39">
      <c r="A132" s="183" t="s">
        <v>85</v>
      </c>
      <c r="B132" s="187" t="s">
        <v>581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v>27443</v>
      </c>
      <c r="R132" s="9"/>
      <c r="S132" s="9"/>
      <c r="T132" s="135">
        <f t="shared" si="13"/>
        <v>27443</v>
      </c>
      <c r="U132" s="43"/>
    </row>
    <row r="133" spans="1:21" ht="15">
      <c r="A133" s="183" t="s">
        <v>85</v>
      </c>
      <c r="B133" s="187" t="s">
        <v>582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v>457111</v>
      </c>
      <c r="R133" s="9"/>
      <c r="S133" s="9"/>
      <c r="T133" s="135">
        <f t="shared" si="13"/>
        <v>457111</v>
      </c>
      <c r="U133" s="43"/>
    </row>
    <row r="134" spans="1:21" ht="30.75" thickBot="1">
      <c r="A134" s="183" t="s">
        <v>85</v>
      </c>
      <c r="B134" s="184" t="s">
        <v>625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9">
        <v>926809</v>
      </c>
      <c r="S134" s="9"/>
      <c r="T134" s="135">
        <f t="shared" si="13"/>
        <v>926809</v>
      </c>
      <c r="U134" s="43"/>
    </row>
    <row r="135" spans="1:21" ht="15.75" thickBot="1">
      <c r="A135" s="76" t="s">
        <v>5</v>
      </c>
      <c r="B135" s="39" t="s">
        <v>87</v>
      </c>
      <c r="C135" s="41">
        <f aca="true" t="shared" si="20" ref="C135:Q135">SUM(C136+C138+C139+C140+C141+C142)</f>
        <v>123369</v>
      </c>
      <c r="D135" s="41">
        <f t="shared" si="20"/>
        <v>0</v>
      </c>
      <c r="E135" s="41">
        <f t="shared" si="20"/>
        <v>0</v>
      </c>
      <c r="F135" s="41"/>
      <c r="G135" s="41">
        <f t="shared" si="20"/>
        <v>0</v>
      </c>
      <c r="H135" s="41">
        <f t="shared" si="20"/>
        <v>1930</v>
      </c>
      <c r="I135" s="41">
        <f t="shared" si="20"/>
        <v>0</v>
      </c>
      <c r="J135" s="41">
        <f t="shared" si="20"/>
        <v>0</v>
      </c>
      <c r="K135" s="41">
        <f t="shared" si="20"/>
        <v>0</v>
      </c>
      <c r="L135" s="41">
        <f t="shared" si="20"/>
        <v>3419</v>
      </c>
      <c r="M135" s="41">
        <f t="shared" si="20"/>
        <v>29308</v>
      </c>
      <c r="N135" s="41">
        <f t="shared" si="20"/>
        <v>300</v>
      </c>
      <c r="O135" s="41">
        <f t="shared" si="20"/>
        <v>2110</v>
      </c>
      <c r="P135" s="41">
        <f t="shared" si="20"/>
        <v>0</v>
      </c>
      <c r="Q135" s="41">
        <f t="shared" si="20"/>
        <v>414526</v>
      </c>
      <c r="R135" s="41">
        <f>SUM(R136+R138+R139+R140+R141+R142)</f>
        <v>160744</v>
      </c>
      <c r="S135" s="41">
        <f>SUM(S136+S138+S139+S140+S141+S142)</f>
        <v>0</v>
      </c>
      <c r="T135" s="42">
        <f t="shared" si="13"/>
        <v>735706</v>
      </c>
      <c r="U135" s="43"/>
    </row>
    <row r="136" spans="1:21" s="24" customFormat="1" ht="15">
      <c r="A136" s="127" t="s">
        <v>88</v>
      </c>
      <c r="B136" s="128" t="s">
        <v>89</v>
      </c>
      <c r="C136" s="129">
        <f>SUM(C137:C137)</f>
        <v>0</v>
      </c>
      <c r="D136" s="129">
        <f aca="true" t="shared" si="21" ref="D136:S136">SUM(D137:D137)</f>
        <v>0</v>
      </c>
      <c r="E136" s="129">
        <f t="shared" si="21"/>
        <v>0</v>
      </c>
      <c r="F136" s="129"/>
      <c r="G136" s="129">
        <f t="shared" si="21"/>
        <v>0</v>
      </c>
      <c r="H136" s="129">
        <f>SUM(H137:H137)</f>
        <v>1930</v>
      </c>
      <c r="I136" s="129">
        <f t="shared" si="21"/>
        <v>0</v>
      </c>
      <c r="J136" s="129">
        <f t="shared" si="21"/>
        <v>0</v>
      </c>
      <c r="K136" s="129">
        <f t="shared" si="21"/>
        <v>0</v>
      </c>
      <c r="L136" s="129">
        <f t="shared" si="21"/>
        <v>3419</v>
      </c>
      <c r="M136" s="129">
        <f t="shared" si="21"/>
        <v>29308</v>
      </c>
      <c r="N136" s="129">
        <f t="shared" si="21"/>
        <v>300</v>
      </c>
      <c r="O136" s="129">
        <f t="shared" si="21"/>
        <v>2110</v>
      </c>
      <c r="P136" s="129">
        <f t="shared" si="21"/>
        <v>0</v>
      </c>
      <c r="Q136" s="129">
        <f>SUM(Q137:Q137)</f>
        <v>24947</v>
      </c>
      <c r="R136" s="129">
        <f t="shared" si="21"/>
        <v>0</v>
      </c>
      <c r="S136" s="129">
        <f t="shared" si="21"/>
        <v>0</v>
      </c>
      <c r="T136" s="47">
        <f t="shared" si="13"/>
        <v>62014</v>
      </c>
      <c r="U136" s="43"/>
    </row>
    <row r="137" spans="1:21" s="24" customFormat="1" ht="15">
      <c r="A137" s="48" t="s">
        <v>306</v>
      </c>
      <c r="B137" s="49" t="s">
        <v>139</v>
      </c>
      <c r="C137" s="129"/>
      <c r="D137" s="129"/>
      <c r="E137" s="129"/>
      <c r="F137" s="129"/>
      <c r="G137" s="129"/>
      <c r="H137" s="84">
        <v>1930</v>
      </c>
      <c r="I137" s="129"/>
      <c r="J137" s="129"/>
      <c r="K137" s="129"/>
      <c r="L137" s="84">
        <v>3419</v>
      </c>
      <c r="M137" s="129">
        <f>29093+215</f>
        <v>29308</v>
      </c>
      <c r="N137" s="87">
        <v>300</v>
      </c>
      <c r="O137" s="72">
        <v>2110</v>
      </c>
      <c r="P137" s="87"/>
      <c r="Q137" s="87">
        <f>23624+1323</f>
        <v>24947</v>
      </c>
      <c r="R137" s="72"/>
      <c r="S137" s="9"/>
      <c r="T137" s="135">
        <f t="shared" si="13"/>
        <v>62014</v>
      </c>
      <c r="U137" s="43"/>
    </row>
    <row r="138" spans="1:21" s="24" customFormat="1" ht="28.5" customHeight="1">
      <c r="A138" s="165" t="s">
        <v>287</v>
      </c>
      <c r="B138" s="188" t="s">
        <v>313</v>
      </c>
      <c r="C138" s="11">
        <v>103000</v>
      </c>
      <c r="D138" s="129"/>
      <c r="E138" s="129"/>
      <c r="F138" s="129"/>
      <c r="G138" s="129"/>
      <c r="H138" s="84"/>
      <c r="I138" s="129"/>
      <c r="J138" s="129"/>
      <c r="K138" s="129"/>
      <c r="L138" s="84"/>
      <c r="M138" s="129"/>
      <c r="N138" s="87"/>
      <c r="O138" s="72"/>
      <c r="P138" s="84"/>
      <c r="Q138" s="84"/>
      <c r="R138" s="72"/>
      <c r="S138" s="9"/>
      <c r="T138" s="135">
        <f t="shared" si="13"/>
        <v>103000</v>
      </c>
      <c r="U138" s="43"/>
    </row>
    <row r="139" spans="1:21" ht="15">
      <c r="A139" s="165" t="s">
        <v>349</v>
      </c>
      <c r="B139" s="188" t="s">
        <v>351</v>
      </c>
      <c r="C139" s="9">
        <v>20369</v>
      </c>
      <c r="D139" s="1"/>
      <c r="E139" s="1"/>
      <c r="F139" s="9"/>
      <c r="G139" s="9"/>
      <c r="H139" s="1"/>
      <c r="I139" s="1"/>
      <c r="J139" s="1"/>
      <c r="K139" s="1"/>
      <c r="L139" s="1"/>
      <c r="M139" s="1"/>
      <c r="N139" s="1"/>
      <c r="O139" s="9"/>
      <c r="P139" s="9"/>
      <c r="Q139" s="9">
        <v>69249</v>
      </c>
      <c r="R139" s="9">
        <v>160744</v>
      </c>
      <c r="S139" s="9"/>
      <c r="T139" s="135">
        <f t="shared" si="13"/>
        <v>250362</v>
      </c>
      <c r="U139" s="43"/>
    </row>
    <row r="140" spans="1:21" ht="30">
      <c r="A140" s="183" t="s">
        <v>651</v>
      </c>
      <c r="B140" s="3" t="s">
        <v>583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v>232773</v>
      </c>
      <c r="R140" s="9"/>
      <c r="S140" s="9"/>
      <c r="T140" s="135">
        <f t="shared" si="13"/>
        <v>232773</v>
      </c>
      <c r="U140" s="43"/>
    </row>
    <row r="141" spans="1:21" ht="45">
      <c r="A141" s="183" t="s">
        <v>651</v>
      </c>
      <c r="B141" s="188" t="s">
        <v>584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>72076+14000</f>
        <v>86076</v>
      </c>
      <c r="R141" s="9"/>
      <c r="S141" s="9"/>
      <c r="T141" s="135">
        <f t="shared" si="13"/>
        <v>86076</v>
      </c>
      <c r="U141" s="43"/>
    </row>
    <row r="142" spans="1:21" ht="45.75" thickBot="1">
      <c r="A142" s="174" t="s">
        <v>651</v>
      </c>
      <c r="B142" s="189" t="s">
        <v>585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>
        <v>1481</v>
      </c>
      <c r="R142" s="12"/>
      <c r="S142" s="63"/>
      <c r="T142" s="175">
        <f>SUM(C142:S142)</f>
        <v>1481</v>
      </c>
      <c r="U142" s="43"/>
    </row>
    <row r="143" spans="1:21" ht="15.75" thickBot="1">
      <c r="A143" s="76" t="s">
        <v>7</v>
      </c>
      <c r="B143" s="39" t="s">
        <v>90</v>
      </c>
      <c r="C143" s="41">
        <f aca="true" t="shared" si="22" ref="C143:O143">C144+C148+C171+C174</f>
        <v>2465425</v>
      </c>
      <c r="D143" s="41">
        <f t="shared" si="22"/>
        <v>316387</v>
      </c>
      <c r="E143" s="41">
        <f t="shared" si="22"/>
        <v>850604</v>
      </c>
      <c r="F143" s="41">
        <f t="shared" si="22"/>
        <v>539942</v>
      </c>
      <c r="G143" s="41">
        <f t="shared" si="22"/>
        <v>0</v>
      </c>
      <c r="H143" s="41">
        <f t="shared" si="22"/>
        <v>209260</v>
      </c>
      <c r="I143" s="41">
        <f t="shared" si="22"/>
        <v>103423</v>
      </c>
      <c r="J143" s="41">
        <f t="shared" si="22"/>
        <v>117421</v>
      </c>
      <c r="K143" s="41">
        <f t="shared" si="22"/>
        <v>184273</v>
      </c>
      <c r="L143" s="41">
        <f t="shared" si="22"/>
        <v>39922</v>
      </c>
      <c r="M143" s="41">
        <f t="shared" si="22"/>
        <v>32741</v>
      </c>
      <c r="N143" s="41">
        <f t="shared" si="22"/>
        <v>80374</v>
      </c>
      <c r="O143" s="41">
        <f t="shared" si="22"/>
        <v>58668</v>
      </c>
      <c r="P143" s="41">
        <f>P144+P148+P171+P174+P175</f>
        <v>895414</v>
      </c>
      <c r="Q143" s="41">
        <f>Q144+Q148+Q171+Q174</f>
        <v>1311935</v>
      </c>
      <c r="R143" s="41">
        <f>R144+R148+R171+R174</f>
        <v>789141</v>
      </c>
      <c r="S143" s="41">
        <f>S144+S148+S171+S174</f>
        <v>0</v>
      </c>
      <c r="T143" s="42">
        <f t="shared" si="13"/>
        <v>7994930</v>
      </c>
      <c r="U143" s="43"/>
    </row>
    <row r="144" spans="1:21" ht="15">
      <c r="A144" s="127" t="s">
        <v>91</v>
      </c>
      <c r="B144" s="128" t="s">
        <v>92</v>
      </c>
      <c r="C144" s="129">
        <f>SUM(C145:C147)</f>
        <v>566533</v>
      </c>
      <c r="D144" s="129">
        <f aca="true" t="shared" si="23" ref="D144:S144">SUM(D145:D147)</f>
        <v>316387</v>
      </c>
      <c r="E144" s="129">
        <f t="shared" si="23"/>
        <v>0</v>
      </c>
      <c r="F144" s="129">
        <f>SUM(F145:F147)</f>
        <v>0</v>
      </c>
      <c r="G144" s="129">
        <f t="shared" si="23"/>
        <v>0</v>
      </c>
      <c r="H144" s="129">
        <f t="shared" si="23"/>
        <v>5470</v>
      </c>
      <c r="I144" s="129">
        <f t="shared" si="23"/>
        <v>0</v>
      </c>
      <c r="J144" s="129">
        <f t="shared" si="23"/>
        <v>0</v>
      </c>
      <c r="K144" s="129">
        <f t="shared" si="23"/>
        <v>5919</v>
      </c>
      <c r="L144" s="129">
        <f t="shared" si="23"/>
        <v>0</v>
      </c>
      <c r="M144" s="129">
        <f t="shared" si="23"/>
        <v>0</v>
      </c>
      <c r="N144" s="129">
        <f t="shared" si="23"/>
        <v>10961</v>
      </c>
      <c r="O144" s="129">
        <f>SUM(O145:O147)</f>
        <v>0</v>
      </c>
      <c r="P144" s="129">
        <f>SUM(P145:P147)</f>
        <v>0</v>
      </c>
      <c r="Q144" s="129">
        <f>SUM(Q145:Q147)</f>
        <v>197655</v>
      </c>
      <c r="R144" s="129">
        <f t="shared" si="23"/>
        <v>85394</v>
      </c>
      <c r="S144" s="129">
        <f t="shared" si="23"/>
        <v>0</v>
      </c>
      <c r="T144" s="47">
        <f t="shared" si="13"/>
        <v>1188319</v>
      </c>
      <c r="U144" s="43"/>
    </row>
    <row r="145" spans="1:21" ht="15">
      <c r="A145" s="48" t="s">
        <v>214</v>
      </c>
      <c r="B145" s="49" t="s">
        <v>93</v>
      </c>
      <c r="C145" s="9">
        <v>66387</v>
      </c>
      <c r="D145" s="1"/>
      <c r="E145" s="1"/>
      <c r="F145" s="9"/>
      <c r="G145" s="9"/>
      <c r="H145" s="1">
        <v>5470</v>
      </c>
      <c r="I145" s="1"/>
      <c r="J145" s="1"/>
      <c r="K145" s="1">
        <v>5919</v>
      </c>
      <c r="L145" s="1"/>
      <c r="M145" s="1"/>
      <c r="N145" s="1">
        <v>10961</v>
      </c>
      <c r="O145" s="9"/>
      <c r="P145" s="9"/>
      <c r="Q145" s="9">
        <f>179763-1058</f>
        <v>178705</v>
      </c>
      <c r="R145" s="9">
        <v>85394</v>
      </c>
      <c r="S145" s="9"/>
      <c r="T145" s="135">
        <f t="shared" si="13"/>
        <v>352836</v>
      </c>
      <c r="U145" s="43"/>
    </row>
    <row r="146" spans="1:21" ht="30">
      <c r="A146" s="48" t="s">
        <v>215</v>
      </c>
      <c r="B146" s="49" t="s">
        <v>94</v>
      </c>
      <c r="C146" s="9">
        <f>412612+87534</f>
        <v>500146</v>
      </c>
      <c r="D146" s="1"/>
      <c r="E146" s="1"/>
      <c r="F146" s="9"/>
      <c r="G146" s="9"/>
      <c r="H146" s="1"/>
      <c r="I146" s="1"/>
      <c r="J146" s="1"/>
      <c r="K146" s="1"/>
      <c r="L146" s="1"/>
      <c r="M146" s="1"/>
      <c r="N146" s="1"/>
      <c r="O146" s="9"/>
      <c r="P146" s="9"/>
      <c r="Q146" s="9">
        <v>18950</v>
      </c>
      <c r="R146" s="9"/>
      <c r="S146" s="9"/>
      <c r="T146" s="135">
        <f aca="true" t="shared" si="24" ref="T146:T210">SUM(C146:S146)</f>
        <v>519096</v>
      </c>
      <c r="U146" s="43"/>
    </row>
    <row r="147" spans="1:21" ht="15">
      <c r="A147" s="48" t="s">
        <v>277</v>
      </c>
      <c r="B147" s="49" t="s">
        <v>278</v>
      </c>
      <c r="C147" s="9"/>
      <c r="D147" s="9">
        <f>345453-29066</f>
        <v>316387</v>
      </c>
      <c r="E147" s="9"/>
      <c r="F147" s="9"/>
      <c r="G147" s="9"/>
      <c r="H147" s="1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35">
        <f t="shared" si="24"/>
        <v>316387</v>
      </c>
      <c r="U147" s="43"/>
    </row>
    <row r="148" spans="1:21" ht="15">
      <c r="A148" s="136" t="s">
        <v>95</v>
      </c>
      <c r="B148" s="138" t="s">
        <v>6</v>
      </c>
      <c r="C148" s="14">
        <f>SUM(C149+C150+C154+C160)</f>
        <v>1795821</v>
      </c>
      <c r="D148" s="14">
        <f aca="true" t="shared" si="25" ref="D148:S148">SUM(D149+D150+D154+D160)</f>
        <v>0</v>
      </c>
      <c r="E148" s="14">
        <f t="shared" si="25"/>
        <v>850604</v>
      </c>
      <c r="F148" s="14">
        <f>SUM(F149+F150+F154+F160)</f>
        <v>539942</v>
      </c>
      <c r="G148" s="14">
        <f t="shared" si="25"/>
        <v>0</v>
      </c>
      <c r="H148" s="14">
        <f t="shared" si="25"/>
        <v>203790</v>
      </c>
      <c r="I148" s="14">
        <f t="shared" si="25"/>
        <v>103423</v>
      </c>
      <c r="J148" s="14">
        <f t="shared" si="25"/>
        <v>113487</v>
      </c>
      <c r="K148" s="14">
        <f t="shared" si="25"/>
        <v>171772</v>
      </c>
      <c r="L148" s="14">
        <f t="shared" si="25"/>
        <v>39922</v>
      </c>
      <c r="M148" s="14">
        <f t="shared" si="25"/>
        <v>32741</v>
      </c>
      <c r="N148" s="14">
        <f t="shared" si="25"/>
        <v>69413</v>
      </c>
      <c r="O148" s="14">
        <f t="shared" si="25"/>
        <v>58668</v>
      </c>
      <c r="P148" s="14">
        <f>SUM(P149+P150+P154+P159+P160)</f>
        <v>651159</v>
      </c>
      <c r="Q148" s="14">
        <f t="shared" si="25"/>
        <v>1035544</v>
      </c>
      <c r="R148" s="14">
        <f>SUM(R149+R150+R154+R160)</f>
        <v>703747</v>
      </c>
      <c r="S148" s="14">
        <f t="shared" si="25"/>
        <v>0</v>
      </c>
      <c r="T148" s="135">
        <f t="shared" si="24"/>
        <v>6370033</v>
      </c>
      <c r="U148" s="43"/>
    </row>
    <row r="149" spans="1:21" ht="15">
      <c r="A149" s="48" t="s">
        <v>328</v>
      </c>
      <c r="B149" s="49" t="s">
        <v>140</v>
      </c>
      <c r="C149" s="9">
        <f>367416+300000+12100+2000+20000</f>
        <v>701516</v>
      </c>
      <c r="D149" s="1"/>
      <c r="E149" s="1"/>
      <c r="F149" s="9"/>
      <c r="G149" s="9"/>
      <c r="H149" s="55">
        <v>31470</v>
      </c>
      <c r="I149" s="1">
        <v>29941</v>
      </c>
      <c r="J149" s="1">
        <v>14742</v>
      </c>
      <c r="K149" s="1">
        <v>32008</v>
      </c>
      <c r="L149" s="1">
        <v>14989</v>
      </c>
      <c r="M149" s="1">
        <v>13903</v>
      </c>
      <c r="N149" s="90">
        <v>16033</v>
      </c>
      <c r="O149" s="52">
        <v>18919</v>
      </c>
      <c r="P149" s="90">
        <v>128354</v>
      </c>
      <c r="Q149" s="90">
        <v>179249</v>
      </c>
      <c r="R149" s="52">
        <v>145069</v>
      </c>
      <c r="S149" s="9"/>
      <c r="T149" s="135">
        <f t="shared" si="24"/>
        <v>1326193</v>
      </c>
      <c r="U149" s="43"/>
    </row>
    <row r="150" spans="1:21" ht="15">
      <c r="A150" s="48" t="s">
        <v>367</v>
      </c>
      <c r="B150" s="49" t="s">
        <v>123</v>
      </c>
      <c r="C150" s="9">
        <f aca="true" t="shared" si="26" ref="C150:O150">SUM(C151:C153)</f>
        <v>192280</v>
      </c>
      <c r="D150" s="9">
        <f>SUM(D151:D153)</f>
        <v>0</v>
      </c>
      <c r="E150" s="9">
        <f t="shared" si="26"/>
        <v>0</v>
      </c>
      <c r="F150" s="9">
        <f>SUM(F151:F153)</f>
        <v>0</v>
      </c>
      <c r="G150" s="9">
        <f t="shared" si="26"/>
        <v>0</v>
      </c>
      <c r="H150" s="9">
        <f t="shared" si="26"/>
        <v>0</v>
      </c>
      <c r="I150" s="9">
        <f t="shared" si="26"/>
        <v>0</v>
      </c>
      <c r="J150" s="9">
        <f t="shared" si="26"/>
        <v>0</v>
      </c>
      <c r="K150" s="9">
        <f t="shared" si="26"/>
        <v>0</v>
      </c>
      <c r="L150" s="9">
        <f t="shared" si="26"/>
        <v>0</v>
      </c>
      <c r="M150" s="9">
        <f t="shared" si="26"/>
        <v>0</v>
      </c>
      <c r="N150" s="9">
        <f t="shared" si="26"/>
        <v>12608</v>
      </c>
      <c r="O150" s="9">
        <f t="shared" si="26"/>
        <v>0</v>
      </c>
      <c r="P150" s="9">
        <f>SUM(P151:P153)</f>
        <v>37635</v>
      </c>
      <c r="Q150" s="9">
        <f>SUM(Q151:Q153)</f>
        <v>98516</v>
      </c>
      <c r="R150" s="9">
        <f>SUM(R151:R153)</f>
        <v>0</v>
      </c>
      <c r="S150" s="9">
        <f>SUM(S151:S153)</f>
        <v>0</v>
      </c>
      <c r="T150" s="135">
        <f t="shared" si="24"/>
        <v>341039</v>
      </c>
      <c r="U150" s="43"/>
    </row>
    <row r="151" spans="1:21" ht="15">
      <c r="A151" s="48" t="s">
        <v>216</v>
      </c>
      <c r="B151" s="49" t="s">
        <v>259</v>
      </c>
      <c r="C151" s="9">
        <v>192280</v>
      </c>
      <c r="D151" s="1"/>
      <c r="E151" s="1"/>
      <c r="F151" s="9"/>
      <c r="G151" s="9"/>
      <c r="H151" s="1"/>
      <c r="I151" s="1"/>
      <c r="J151" s="1"/>
      <c r="K151" s="1"/>
      <c r="L151" s="1"/>
      <c r="M151" s="1"/>
      <c r="N151" s="1"/>
      <c r="O151" s="52"/>
      <c r="P151" s="1">
        <v>20626</v>
      </c>
      <c r="Q151" s="1">
        <v>98516</v>
      </c>
      <c r="R151" s="52"/>
      <c r="S151" s="9"/>
      <c r="T151" s="135">
        <f t="shared" si="24"/>
        <v>311422</v>
      </c>
      <c r="U151" s="43"/>
    </row>
    <row r="152" spans="1:21" ht="15">
      <c r="A152" s="48" t="s">
        <v>336</v>
      </c>
      <c r="B152" s="17" t="s">
        <v>542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">
        <v>12608</v>
      </c>
      <c r="O152" s="52"/>
      <c r="P152" s="1"/>
      <c r="Q152" s="1"/>
      <c r="R152" s="52"/>
      <c r="S152" s="9"/>
      <c r="T152" s="135">
        <f t="shared" si="24"/>
        <v>12608</v>
      </c>
      <c r="U152" s="43"/>
    </row>
    <row r="153" spans="1:21" ht="15">
      <c r="A153" s="161" t="s">
        <v>95</v>
      </c>
      <c r="B153" s="17" t="s">
        <v>543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"/>
      <c r="O153" s="52"/>
      <c r="P153" s="9">
        <v>17009</v>
      </c>
      <c r="Q153" s="1"/>
      <c r="R153" s="52"/>
      <c r="S153" s="9"/>
      <c r="T153" s="135">
        <f t="shared" si="24"/>
        <v>17009</v>
      </c>
      <c r="U153" s="43"/>
    </row>
    <row r="154" spans="1:21" ht="15">
      <c r="A154" s="48" t="s">
        <v>96</v>
      </c>
      <c r="B154" s="49" t="s">
        <v>368</v>
      </c>
      <c r="C154" s="9">
        <f>SUM(C155:C158)</f>
        <v>0</v>
      </c>
      <c r="D154" s="9">
        <f aca="true" t="shared" si="27" ref="D154:S154">SUM(D155:D158)</f>
        <v>0</v>
      </c>
      <c r="E154" s="9">
        <f t="shared" si="27"/>
        <v>850604</v>
      </c>
      <c r="F154" s="9">
        <f t="shared" si="27"/>
        <v>539942</v>
      </c>
      <c r="G154" s="9">
        <f t="shared" si="27"/>
        <v>0</v>
      </c>
      <c r="H154" s="9">
        <f t="shared" si="27"/>
        <v>172320</v>
      </c>
      <c r="I154" s="9">
        <f t="shared" si="27"/>
        <v>73482</v>
      </c>
      <c r="J154" s="9">
        <f t="shared" si="27"/>
        <v>98745</v>
      </c>
      <c r="K154" s="9">
        <f t="shared" si="27"/>
        <v>139764</v>
      </c>
      <c r="L154" s="9">
        <f t="shared" si="27"/>
        <v>24933</v>
      </c>
      <c r="M154" s="9">
        <f t="shared" si="27"/>
        <v>18838</v>
      </c>
      <c r="N154" s="9">
        <f t="shared" si="27"/>
        <v>40772</v>
      </c>
      <c r="O154" s="9">
        <f t="shared" si="27"/>
        <v>36249</v>
      </c>
      <c r="P154" s="9">
        <f t="shared" si="27"/>
        <v>458393</v>
      </c>
      <c r="Q154" s="9">
        <f>SUM(Q155:Q157)</f>
        <v>552442</v>
      </c>
      <c r="R154" s="9">
        <f t="shared" si="27"/>
        <v>539936</v>
      </c>
      <c r="S154" s="9">
        <f t="shared" si="27"/>
        <v>0</v>
      </c>
      <c r="T154" s="135">
        <f t="shared" si="24"/>
        <v>3546420</v>
      </c>
      <c r="U154" s="43"/>
    </row>
    <row r="155" spans="1:21" ht="15">
      <c r="A155" s="48" t="s">
        <v>288</v>
      </c>
      <c r="B155" s="49" t="s">
        <v>315</v>
      </c>
      <c r="C155" s="9"/>
      <c r="D155" s="1"/>
      <c r="E155" s="1">
        <f>385884-155280</f>
        <v>230604</v>
      </c>
      <c r="F155" s="9">
        <v>77091</v>
      </c>
      <c r="G155" s="9"/>
      <c r="H155" s="55">
        <v>172320</v>
      </c>
      <c r="I155" s="1">
        <v>73482</v>
      </c>
      <c r="J155" s="1">
        <v>78470</v>
      </c>
      <c r="K155" s="1">
        <v>139764</v>
      </c>
      <c r="L155" s="1">
        <v>24933</v>
      </c>
      <c r="M155" s="1">
        <v>18838</v>
      </c>
      <c r="N155" s="90">
        <v>40772</v>
      </c>
      <c r="O155" s="52">
        <v>36249</v>
      </c>
      <c r="P155" s="90">
        <v>458393</v>
      </c>
      <c r="Q155" s="90">
        <f>551384+1058</f>
        <v>552442</v>
      </c>
      <c r="R155" s="52">
        <v>448188</v>
      </c>
      <c r="S155" s="9"/>
      <c r="T155" s="135">
        <f t="shared" si="24"/>
        <v>2351546</v>
      </c>
      <c r="U155" s="43"/>
    </row>
    <row r="156" spans="1:21" ht="15">
      <c r="A156" s="48" t="s">
        <v>337</v>
      </c>
      <c r="B156" s="49" t="s">
        <v>369</v>
      </c>
      <c r="C156" s="9"/>
      <c r="D156" s="1"/>
      <c r="E156" s="1"/>
      <c r="F156" s="9"/>
      <c r="G156" s="9"/>
      <c r="H156" s="190"/>
      <c r="I156" s="1"/>
      <c r="J156" s="1">
        <v>20275</v>
      </c>
      <c r="K156" s="1"/>
      <c r="L156" s="1"/>
      <c r="M156" s="1"/>
      <c r="N156" s="1"/>
      <c r="O156" s="52"/>
      <c r="P156" s="1"/>
      <c r="Q156" s="1"/>
      <c r="R156" s="52"/>
      <c r="S156" s="9"/>
      <c r="T156" s="135">
        <f t="shared" si="24"/>
        <v>20275</v>
      </c>
      <c r="U156" s="43"/>
    </row>
    <row r="157" spans="1:21" ht="15">
      <c r="A157" s="48" t="s">
        <v>314</v>
      </c>
      <c r="B157" s="49" t="s">
        <v>124</v>
      </c>
      <c r="C157" s="9"/>
      <c r="D157" s="1"/>
      <c r="E157" s="1">
        <f>1069126+12832+893-462851</f>
        <v>620000</v>
      </c>
      <c r="F157" s="9">
        <v>462851</v>
      </c>
      <c r="G157" s="9"/>
      <c r="H157" s="1"/>
      <c r="I157" s="1"/>
      <c r="J157" s="1"/>
      <c r="K157" s="1"/>
      <c r="L157" s="1"/>
      <c r="M157" s="1"/>
      <c r="N157" s="1"/>
      <c r="O157" s="9"/>
      <c r="P157" s="9"/>
      <c r="Q157" s="9"/>
      <c r="R157" s="9"/>
      <c r="S157" s="9"/>
      <c r="T157" s="135">
        <f t="shared" si="24"/>
        <v>1082851</v>
      </c>
      <c r="U157" s="43"/>
    </row>
    <row r="158" spans="1:21" ht="15">
      <c r="A158" s="161" t="s">
        <v>95</v>
      </c>
      <c r="B158" s="49" t="s">
        <v>643</v>
      </c>
      <c r="C158" s="9"/>
      <c r="D158" s="1"/>
      <c r="E158" s="1"/>
      <c r="F158" s="9"/>
      <c r="G158" s="9"/>
      <c r="H158" s="1"/>
      <c r="I158" s="1"/>
      <c r="J158" s="1"/>
      <c r="K158" s="1"/>
      <c r="L158" s="1"/>
      <c r="M158" s="1"/>
      <c r="N158" s="1"/>
      <c r="O158" s="9"/>
      <c r="P158" s="9"/>
      <c r="Q158" s="9"/>
      <c r="R158" s="9">
        <v>91748</v>
      </c>
      <c r="S158" s="9"/>
      <c r="T158" s="135">
        <f t="shared" si="24"/>
        <v>91748</v>
      </c>
      <c r="U158" s="43"/>
    </row>
    <row r="159" spans="1:21" ht="15">
      <c r="A159" s="161" t="s">
        <v>95</v>
      </c>
      <c r="B159" s="49" t="s">
        <v>544</v>
      </c>
      <c r="C159" s="9"/>
      <c r="D159" s="1"/>
      <c r="E159" s="1"/>
      <c r="F159" s="9"/>
      <c r="G159" s="9"/>
      <c r="H159" s="1"/>
      <c r="I159" s="1"/>
      <c r="J159" s="1"/>
      <c r="K159" s="1"/>
      <c r="L159" s="1"/>
      <c r="M159" s="1"/>
      <c r="N159" s="1"/>
      <c r="O159" s="9"/>
      <c r="P159" s="9">
        <v>26777</v>
      </c>
      <c r="Q159" s="9"/>
      <c r="R159" s="9"/>
      <c r="S159" s="9"/>
      <c r="T159" s="135">
        <f t="shared" si="24"/>
        <v>26777</v>
      </c>
      <c r="U159" s="43"/>
    </row>
    <row r="160" spans="1:21" s="24" customFormat="1" ht="15">
      <c r="A160" s="136" t="s">
        <v>97</v>
      </c>
      <c r="B160" s="86" t="s">
        <v>217</v>
      </c>
      <c r="C160" s="87">
        <f>SUM(C161:C170)</f>
        <v>902025</v>
      </c>
      <c r="D160" s="87">
        <f aca="true" t="shared" si="28" ref="D160:O160">SUM(D161:D169)</f>
        <v>0</v>
      </c>
      <c r="E160" s="87">
        <f t="shared" si="28"/>
        <v>0</v>
      </c>
      <c r="F160" s="87">
        <f t="shared" si="28"/>
        <v>0</v>
      </c>
      <c r="G160" s="87">
        <f t="shared" si="28"/>
        <v>0</v>
      </c>
      <c r="H160" s="87">
        <f t="shared" si="28"/>
        <v>0</v>
      </c>
      <c r="I160" s="87">
        <f t="shared" si="28"/>
        <v>0</v>
      </c>
      <c r="J160" s="87">
        <f t="shared" si="28"/>
        <v>0</v>
      </c>
      <c r="K160" s="87">
        <f t="shared" si="28"/>
        <v>0</v>
      </c>
      <c r="L160" s="87">
        <f t="shared" si="28"/>
        <v>0</v>
      </c>
      <c r="M160" s="87">
        <f t="shared" si="28"/>
        <v>0</v>
      </c>
      <c r="N160" s="87">
        <f t="shared" si="28"/>
        <v>0</v>
      </c>
      <c r="O160" s="87">
        <f t="shared" si="28"/>
        <v>3500</v>
      </c>
      <c r="P160" s="87">
        <f>SUM(P161:P170)</f>
        <v>0</v>
      </c>
      <c r="Q160" s="87">
        <f>SUM(Q161:Q169)</f>
        <v>205337</v>
      </c>
      <c r="R160" s="14">
        <f>SUM(R161:R169)</f>
        <v>18742</v>
      </c>
      <c r="S160" s="14">
        <f>SUM(S161:S169)</f>
        <v>0</v>
      </c>
      <c r="T160" s="135">
        <f t="shared" si="24"/>
        <v>1129604</v>
      </c>
      <c r="U160" s="43"/>
    </row>
    <row r="161" spans="1:21" ht="15">
      <c r="A161" s="48" t="s">
        <v>218</v>
      </c>
      <c r="B161" s="17" t="s">
        <v>289</v>
      </c>
      <c r="C161" s="9">
        <f>72604+4000-4000</f>
        <v>72604</v>
      </c>
      <c r="D161" s="1"/>
      <c r="E161" s="1"/>
      <c r="F161" s="9"/>
      <c r="G161" s="9"/>
      <c r="H161" s="1"/>
      <c r="I161" s="1"/>
      <c r="J161" s="1"/>
      <c r="K161" s="1"/>
      <c r="L161" s="1"/>
      <c r="M161" s="1"/>
      <c r="N161" s="1"/>
      <c r="O161" s="9">
        <v>3500</v>
      </c>
      <c r="P161" s="9"/>
      <c r="Q161" s="9">
        <v>205337</v>
      </c>
      <c r="R161" s="9">
        <v>18742</v>
      </c>
      <c r="S161" s="9"/>
      <c r="T161" s="135">
        <f t="shared" si="24"/>
        <v>300183</v>
      </c>
      <c r="U161" s="43"/>
    </row>
    <row r="162" spans="1:21" ht="15">
      <c r="A162" s="48" t="s">
        <v>219</v>
      </c>
      <c r="B162" s="17" t="s">
        <v>125</v>
      </c>
      <c r="C162" s="9">
        <f>153525+70000</f>
        <v>223525</v>
      </c>
      <c r="D162" s="1"/>
      <c r="E162" s="1"/>
      <c r="F162" s="9"/>
      <c r="G162" s="9"/>
      <c r="H162" s="1"/>
      <c r="I162" s="1"/>
      <c r="J162" s="1"/>
      <c r="K162" s="1"/>
      <c r="L162" s="1"/>
      <c r="M162" s="1"/>
      <c r="N162" s="1"/>
      <c r="O162" s="9"/>
      <c r="P162" s="9"/>
      <c r="Q162" s="9"/>
      <c r="R162" s="9"/>
      <c r="S162" s="9"/>
      <c r="T162" s="135">
        <f t="shared" si="24"/>
        <v>223525</v>
      </c>
      <c r="U162" s="43"/>
    </row>
    <row r="163" spans="1:21" ht="30">
      <c r="A163" s="48" t="s">
        <v>307</v>
      </c>
      <c r="B163" s="17" t="s">
        <v>416</v>
      </c>
      <c r="C163" s="9">
        <v>20000</v>
      </c>
      <c r="D163" s="1"/>
      <c r="E163" s="1"/>
      <c r="F163" s="9"/>
      <c r="G163" s="9"/>
      <c r="H163" s="1"/>
      <c r="I163" s="1"/>
      <c r="J163" s="1"/>
      <c r="K163" s="1"/>
      <c r="L163" s="1"/>
      <c r="M163" s="1"/>
      <c r="N163" s="1"/>
      <c r="O163" s="9"/>
      <c r="P163" s="9"/>
      <c r="Q163" s="9"/>
      <c r="R163" s="9"/>
      <c r="S163" s="9"/>
      <c r="T163" s="135">
        <f t="shared" si="24"/>
        <v>20000</v>
      </c>
      <c r="U163" s="43"/>
    </row>
    <row r="164" spans="1:21" ht="30">
      <c r="A164" s="165" t="s">
        <v>310</v>
      </c>
      <c r="B164" s="184" t="s">
        <v>370</v>
      </c>
      <c r="C164" s="9"/>
      <c r="D164" s="1"/>
      <c r="E164" s="1"/>
      <c r="F164" s="9"/>
      <c r="G164" s="9"/>
      <c r="H164" s="1"/>
      <c r="I164" s="1"/>
      <c r="J164" s="1"/>
      <c r="K164" s="1"/>
      <c r="L164" s="1"/>
      <c r="M164" s="1"/>
      <c r="N164" s="1"/>
      <c r="O164" s="9"/>
      <c r="P164" s="9"/>
      <c r="Q164" s="9"/>
      <c r="R164" s="9"/>
      <c r="S164" s="9"/>
      <c r="T164" s="135">
        <f t="shared" si="24"/>
        <v>0</v>
      </c>
      <c r="U164" s="43"/>
    </row>
    <row r="165" spans="1:21" ht="45">
      <c r="A165" s="48" t="s">
        <v>267</v>
      </c>
      <c r="B165" s="191" t="s">
        <v>417</v>
      </c>
      <c r="C165" s="9">
        <v>20000</v>
      </c>
      <c r="D165" s="1"/>
      <c r="E165" s="1"/>
      <c r="F165" s="9"/>
      <c r="G165" s="9"/>
      <c r="H165" s="1"/>
      <c r="I165" s="1"/>
      <c r="J165" s="1"/>
      <c r="K165" s="1"/>
      <c r="L165" s="1"/>
      <c r="M165" s="1"/>
      <c r="N165" s="1"/>
      <c r="O165" s="9"/>
      <c r="P165" s="9"/>
      <c r="Q165" s="9"/>
      <c r="R165" s="9"/>
      <c r="S165" s="9"/>
      <c r="T165" s="135">
        <f t="shared" si="24"/>
        <v>20000</v>
      </c>
      <c r="U165" s="43"/>
    </row>
    <row r="166" spans="1:21" ht="47.25">
      <c r="A166" s="165" t="s">
        <v>371</v>
      </c>
      <c r="B166" s="2" t="s">
        <v>418</v>
      </c>
      <c r="C166" s="9">
        <v>47418</v>
      </c>
      <c r="D166" s="1"/>
      <c r="E166" s="1"/>
      <c r="F166" s="9"/>
      <c r="G166" s="9"/>
      <c r="H166" s="1"/>
      <c r="I166" s="1"/>
      <c r="J166" s="1"/>
      <c r="K166" s="1"/>
      <c r="L166" s="1"/>
      <c r="M166" s="1"/>
      <c r="N166" s="1"/>
      <c r="O166" s="9"/>
      <c r="P166" s="9"/>
      <c r="Q166" s="9"/>
      <c r="R166" s="9"/>
      <c r="S166" s="9"/>
      <c r="T166" s="135">
        <f t="shared" si="24"/>
        <v>47418</v>
      </c>
      <c r="U166" s="43"/>
    </row>
    <row r="167" spans="1:21" ht="30">
      <c r="A167" s="165" t="s">
        <v>429</v>
      </c>
      <c r="B167" s="192" t="s">
        <v>430</v>
      </c>
      <c r="C167" s="9">
        <f>61672-29762</f>
        <v>31910</v>
      </c>
      <c r="D167" s="1"/>
      <c r="E167" s="1"/>
      <c r="F167" s="9"/>
      <c r="G167" s="9"/>
      <c r="H167" s="1"/>
      <c r="I167" s="1"/>
      <c r="J167" s="1"/>
      <c r="K167" s="1"/>
      <c r="L167" s="1"/>
      <c r="M167" s="1"/>
      <c r="N167" s="1"/>
      <c r="O167" s="9"/>
      <c r="P167" s="9"/>
      <c r="Q167" s="9"/>
      <c r="R167" s="9"/>
      <c r="S167" s="9"/>
      <c r="T167" s="135">
        <f t="shared" si="24"/>
        <v>31910</v>
      </c>
      <c r="U167" s="43"/>
    </row>
    <row r="168" spans="1:21" ht="30">
      <c r="A168" s="165" t="s">
        <v>433</v>
      </c>
      <c r="B168" s="192" t="s">
        <v>475</v>
      </c>
      <c r="C168" s="9">
        <f>22192-5624</f>
        <v>16568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35">
        <f t="shared" si="24"/>
        <v>16568</v>
      </c>
      <c r="U168" s="43"/>
    </row>
    <row r="169" spans="1:21" ht="15">
      <c r="A169" s="165" t="s">
        <v>529</v>
      </c>
      <c r="B169" s="193" t="s">
        <v>530</v>
      </c>
      <c r="C169" s="9">
        <v>20000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35">
        <f t="shared" si="24"/>
        <v>20000</v>
      </c>
      <c r="U169" s="43"/>
    </row>
    <row r="170" spans="1:21" ht="30">
      <c r="A170" s="165" t="s">
        <v>616</v>
      </c>
      <c r="B170" s="193" t="s">
        <v>617</v>
      </c>
      <c r="C170" s="9">
        <f>382500+67500</f>
        <v>450000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35">
        <f t="shared" si="24"/>
        <v>450000</v>
      </c>
      <c r="U170" s="43"/>
    </row>
    <row r="171" spans="1:21" ht="15">
      <c r="A171" s="136" t="s">
        <v>316</v>
      </c>
      <c r="B171" s="194" t="s">
        <v>317</v>
      </c>
      <c r="C171" s="9">
        <f>SUM(C172:C173)</f>
        <v>92489</v>
      </c>
      <c r="D171" s="9">
        <f aca="true" t="shared" si="29" ref="D171:S171">SUM(D172:D173)</f>
        <v>0</v>
      </c>
      <c r="E171" s="9">
        <f t="shared" si="29"/>
        <v>0</v>
      </c>
      <c r="F171" s="9">
        <f>SUM(F172:F173)</f>
        <v>0</v>
      </c>
      <c r="G171" s="9">
        <f t="shared" si="29"/>
        <v>0</v>
      </c>
      <c r="H171" s="9">
        <f t="shared" si="29"/>
        <v>0</v>
      </c>
      <c r="I171" s="9">
        <f t="shared" si="29"/>
        <v>0</v>
      </c>
      <c r="J171" s="9">
        <f t="shared" si="29"/>
        <v>3934</v>
      </c>
      <c r="K171" s="9">
        <f t="shared" si="29"/>
        <v>6582</v>
      </c>
      <c r="L171" s="9">
        <f t="shared" si="29"/>
        <v>0</v>
      </c>
      <c r="M171" s="9">
        <f t="shared" si="29"/>
        <v>0</v>
      </c>
      <c r="N171" s="9">
        <f t="shared" si="29"/>
        <v>0</v>
      </c>
      <c r="O171" s="9">
        <f>SUM(O172:O173)</f>
        <v>0</v>
      </c>
      <c r="P171" s="9">
        <f>SUM(P172:P173)</f>
        <v>11230</v>
      </c>
      <c r="Q171" s="9">
        <v>78736</v>
      </c>
      <c r="R171" s="9">
        <f t="shared" si="29"/>
        <v>0</v>
      </c>
      <c r="S171" s="9">
        <f t="shared" si="29"/>
        <v>0</v>
      </c>
      <c r="T171" s="135">
        <f t="shared" si="24"/>
        <v>192971</v>
      </c>
      <c r="U171" s="43"/>
    </row>
    <row r="172" spans="1:21" ht="15">
      <c r="A172" s="195" t="s">
        <v>338</v>
      </c>
      <c r="B172" s="86" t="s">
        <v>98</v>
      </c>
      <c r="C172" s="14">
        <f>23600+4000</f>
        <v>27600</v>
      </c>
      <c r="D172" s="87"/>
      <c r="E172" s="87"/>
      <c r="F172" s="14"/>
      <c r="G172" s="14"/>
      <c r="H172" s="1"/>
      <c r="I172" s="1"/>
      <c r="J172" s="1"/>
      <c r="K172" s="1">
        <v>2300</v>
      </c>
      <c r="L172" s="1"/>
      <c r="M172" s="1"/>
      <c r="N172" s="1"/>
      <c r="O172" s="9"/>
      <c r="P172" s="9"/>
      <c r="Q172" s="9"/>
      <c r="R172" s="9"/>
      <c r="S172" s="9"/>
      <c r="T172" s="135">
        <f t="shared" si="24"/>
        <v>29900</v>
      </c>
      <c r="U172" s="43"/>
    </row>
    <row r="173" spans="1:21" ht="29.25">
      <c r="A173" s="195" t="s">
        <v>339</v>
      </c>
      <c r="B173" s="86" t="s">
        <v>99</v>
      </c>
      <c r="C173" s="14">
        <f>70747-5858</f>
        <v>64889</v>
      </c>
      <c r="D173" s="87"/>
      <c r="E173" s="87"/>
      <c r="F173" s="14"/>
      <c r="G173" s="14"/>
      <c r="H173" s="1"/>
      <c r="I173" s="1"/>
      <c r="J173" s="1">
        <v>3934</v>
      </c>
      <c r="K173" s="1">
        <v>4282</v>
      </c>
      <c r="L173" s="1"/>
      <c r="M173" s="1"/>
      <c r="N173" s="1"/>
      <c r="O173" s="9"/>
      <c r="P173" s="9">
        <v>11230</v>
      </c>
      <c r="Q173" s="9">
        <v>78736</v>
      </c>
      <c r="R173" s="9"/>
      <c r="S173" s="9"/>
      <c r="T173" s="135">
        <f t="shared" si="24"/>
        <v>163071</v>
      </c>
      <c r="U173" s="43"/>
    </row>
    <row r="174" spans="1:21" ht="43.5">
      <c r="A174" s="196" t="s">
        <v>539</v>
      </c>
      <c r="B174" s="74" t="s">
        <v>465</v>
      </c>
      <c r="C174" s="154">
        <f>15000-4418</f>
        <v>10582</v>
      </c>
      <c r="D174" s="197"/>
      <c r="E174" s="197"/>
      <c r="F174" s="154"/>
      <c r="G174" s="154"/>
      <c r="H174" s="75"/>
      <c r="I174" s="75"/>
      <c r="J174" s="75"/>
      <c r="K174" s="75"/>
      <c r="L174" s="75"/>
      <c r="M174" s="75"/>
      <c r="N174" s="75"/>
      <c r="O174" s="12"/>
      <c r="P174" s="12"/>
      <c r="Q174" s="12"/>
      <c r="R174" s="9"/>
      <c r="S174" s="9"/>
      <c r="T174" s="135">
        <f t="shared" si="24"/>
        <v>10582</v>
      </c>
      <c r="U174" s="43"/>
    </row>
    <row r="175" spans="1:21" ht="29.25">
      <c r="A175" s="198" t="s">
        <v>545</v>
      </c>
      <c r="B175" s="199" t="s">
        <v>546</v>
      </c>
      <c r="C175" s="1">
        <f>SUM(C177:C182)</f>
        <v>0</v>
      </c>
      <c r="D175" s="1">
        <f aca="true" t="shared" si="30" ref="D175:O175">SUM(D177:D182)</f>
        <v>0</v>
      </c>
      <c r="E175" s="1">
        <f t="shared" si="30"/>
        <v>0</v>
      </c>
      <c r="F175" s="1">
        <f>SUM(F177:F182)</f>
        <v>0</v>
      </c>
      <c r="G175" s="1">
        <f t="shared" si="30"/>
        <v>0</v>
      </c>
      <c r="H175" s="1">
        <f t="shared" si="30"/>
        <v>0</v>
      </c>
      <c r="I175" s="1">
        <f t="shared" si="30"/>
        <v>0</v>
      </c>
      <c r="J175" s="1">
        <f t="shared" si="30"/>
        <v>0</v>
      </c>
      <c r="K175" s="1">
        <f t="shared" si="30"/>
        <v>0</v>
      </c>
      <c r="L175" s="1">
        <f t="shared" si="30"/>
        <v>0</v>
      </c>
      <c r="M175" s="1">
        <f t="shared" si="30"/>
        <v>0</v>
      </c>
      <c r="N175" s="1">
        <f t="shared" si="30"/>
        <v>0</v>
      </c>
      <c r="O175" s="1">
        <f t="shared" si="30"/>
        <v>0</v>
      </c>
      <c r="P175" s="1">
        <f>SUM(P176:P182)</f>
        <v>233025</v>
      </c>
      <c r="Q175" s="1">
        <f>SUM(Q176:Q182)</f>
        <v>0</v>
      </c>
      <c r="R175" s="1">
        <f>SUM(R176:R182)</f>
        <v>0</v>
      </c>
      <c r="S175" s="1">
        <f>SUM(S176:S182)</f>
        <v>0</v>
      </c>
      <c r="T175" s="135">
        <f t="shared" si="24"/>
        <v>233025</v>
      </c>
      <c r="U175" s="43"/>
    </row>
    <row r="176" spans="1:21" ht="15">
      <c r="A176" s="183" t="s">
        <v>545</v>
      </c>
      <c r="B176" s="200" t="s">
        <v>657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>
        <v>53560</v>
      </c>
      <c r="Q176" s="1"/>
      <c r="R176" s="11"/>
      <c r="S176" s="9"/>
      <c r="T176" s="135">
        <f t="shared" si="24"/>
        <v>53560</v>
      </c>
      <c r="U176" s="43"/>
    </row>
    <row r="177" spans="1:21" ht="15">
      <c r="A177" s="183" t="s">
        <v>545</v>
      </c>
      <c r="B177" s="200" t="s">
        <v>547</v>
      </c>
      <c r="C177" s="87"/>
      <c r="D177" s="87"/>
      <c r="E177" s="87"/>
      <c r="F177" s="87"/>
      <c r="G177" s="87"/>
      <c r="H177" s="1"/>
      <c r="I177" s="1"/>
      <c r="J177" s="1"/>
      <c r="K177" s="1"/>
      <c r="L177" s="1"/>
      <c r="M177" s="1"/>
      <c r="N177" s="1"/>
      <c r="O177" s="1"/>
      <c r="P177" s="1">
        <v>73047</v>
      </c>
      <c r="Q177" s="1"/>
      <c r="R177" s="11"/>
      <c r="S177" s="9"/>
      <c r="T177" s="135">
        <f t="shared" si="24"/>
        <v>73047</v>
      </c>
      <c r="U177" s="43"/>
    </row>
    <row r="178" spans="1:21" ht="15">
      <c r="A178" s="183" t="s">
        <v>545</v>
      </c>
      <c r="B178" s="200" t="s">
        <v>548</v>
      </c>
      <c r="C178" s="87"/>
      <c r="D178" s="87"/>
      <c r="E178" s="87"/>
      <c r="F178" s="14"/>
      <c r="G178" s="14"/>
      <c r="H178" s="1"/>
      <c r="I178" s="1"/>
      <c r="J178" s="1"/>
      <c r="K178" s="1"/>
      <c r="L178" s="1"/>
      <c r="M178" s="1"/>
      <c r="N178" s="1"/>
      <c r="O178" s="9"/>
      <c r="P178" s="9">
        <v>18249</v>
      </c>
      <c r="Q178" s="9"/>
      <c r="R178" s="9"/>
      <c r="S178" s="9"/>
      <c r="T178" s="135">
        <f t="shared" si="24"/>
        <v>18249</v>
      </c>
      <c r="U178" s="43"/>
    </row>
    <row r="179" spans="1:21" ht="30">
      <c r="A179" s="183" t="s">
        <v>545</v>
      </c>
      <c r="B179" s="17" t="s">
        <v>309</v>
      </c>
      <c r="C179" s="87"/>
      <c r="D179" s="84"/>
      <c r="E179" s="84"/>
      <c r="F179" s="129"/>
      <c r="G179" s="129"/>
      <c r="H179" s="46"/>
      <c r="I179" s="46"/>
      <c r="J179" s="46"/>
      <c r="K179" s="46"/>
      <c r="L179" s="46"/>
      <c r="M179" s="46"/>
      <c r="N179" s="46"/>
      <c r="O179" s="11"/>
      <c r="P179" s="11">
        <v>2228</v>
      </c>
      <c r="Q179" s="11"/>
      <c r="R179" s="11"/>
      <c r="S179" s="9"/>
      <c r="T179" s="135">
        <f t="shared" si="24"/>
        <v>2228</v>
      </c>
      <c r="U179" s="43"/>
    </row>
    <row r="180" spans="1:21" ht="30">
      <c r="A180" s="183" t="s">
        <v>545</v>
      </c>
      <c r="B180" s="200" t="s">
        <v>549</v>
      </c>
      <c r="C180" s="87"/>
      <c r="D180" s="87"/>
      <c r="E180" s="87"/>
      <c r="F180" s="14"/>
      <c r="G180" s="14"/>
      <c r="H180" s="1"/>
      <c r="I180" s="1"/>
      <c r="J180" s="1"/>
      <c r="K180" s="1"/>
      <c r="L180" s="1"/>
      <c r="M180" s="1"/>
      <c r="N180" s="1"/>
      <c r="O180" s="9"/>
      <c r="P180" s="9">
        <v>14298</v>
      </c>
      <c r="Q180" s="9"/>
      <c r="R180" s="9"/>
      <c r="S180" s="9"/>
      <c r="T180" s="135">
        <f t="shared" si="24"/>
        <v>14298</v>
      </c>
      <c r="U180" s="43"/>
    </row>
    <row r="181" spans="1:21" ht="15">
      <c r="A181" s="183" t="s">
        <v>545</v>
      </c>
      <c r="B181" s="200" t="s">
        <v>550</v>
      </c>
      <c r="C181" s="87"/>
      <c r="D181" s="87"/>
      <c r="E181" s="87"/>
      <c r="F181" s="14"/>
      <c r="G181" s="14"/>
      <c r="H181" s="1"/>
      <c r="I181" s="1"/>
      <c r="J181" s="1"/>
      <c r="K181" s="1"/>
      <c r="L181" s="1"/>
      <c r="M181" s="1"/>
      <c r="N181" s="1"/>
      <c r="O181" s="9"/>
      <c r="P181" s="9">
        <v>4130</v>
      </c>
      <c r="Q181" s="9"/>
      <c r="R181" s="9"/>
      <c r="S181" s="9"/>
      <c r="T181" s="135">
        <f t="shared" si="24"/>
        <v>4130</v>
      </c>
      <c r="U181" s="43"/>
    </row>
    <row r="182" spans="1:21" ht="15.75" thickBot="1">
      <c r="A182" s="201" t="s">
        <v>545</v>
      </c>
      <c r="B182" s="202" t="s">
        <v>551</v>
      </c>
      <c r="C182" s="154"/>
      <c r="D182" s="197"/>
      <c r="E182" s="197"/>
      <c r="F182" s="154"/>
      <c r="G182" s="154"/>
      <c r="H182" s="75"/>
      <c r="I182" s="75"/>
      <c r="J182" s="75"/>
      <c r="K182" s="75"/>
      <c r="L182" s="75"/>
      <c r="M182" s="75"/>
      <c r="N182" s="75"/>
      <c r="O182" s="12"/>
      <c r="P182" s="12">
        <v>67513</v>
      </c>
      <c r="Q182" s="12"/>
      <c r="R182" s="12"/>
      <c r="S182" s="63"/>
      <c r="T182" s="175">
        <f t="shared" si="24"/>
        <v>67513</v>
      </c>
      <c r="U182" s="43"/>
    </row>
    <row r="183" spans="1:21" ht="15.75" thickBot="1">
      <c r="A183" s="203" t="s">
        <v>100</v>
      </c>
      <c r="B183" s="176" t="s">
        <v>1</v>
      </c>
      <c r="C183" s="40">
        <f aca="true" t="shared" si="31" ref="C183:Q183">C184+C203+C204+C229+C241+C248+C250</f>
        <v>29370144</v>
      </c>
      <c r="D183" s="40">
        <f t="shared" si="31"/>
        <v>0</v>
      </c>
      <c r="E183" s="40">
        <f t="shared" si="31"/>
        <v>0</v>
      </c>
      <c r="F183" s="40">
        <f t="shared" si="31"/>
        <v>0</v>
      </c>
      <c r="G183" s="40">
        <f t="shared" si="31"/>
        <v>0</v>
      </c>
      <c r="H183" s="40">
        <f t="shared" si="31"/>
        <v>1314886</v>
      </c>
      <c r="I183" s="40">
        <f t="shared" si="31"/>
        <v>0</v>
      </c>
      <c r="J183" s="40">
        <f t="shared" si="31"/>
        <v>485539</v>
      </c>
      <c r="K183" s="40">
        <f t="shared" si="31"/>
        <v>1443169</v>
      </c>
      <c r="L183" s="40">
        <f t="shared" si="31"/>
        <v>42567</v>
      </c>
      <c r="M183" s="40">
        <f t="shared" si="31"/>
        <v>79188</v>
      </c>
      <c r="N183" s="40">
        <f t="shared" si="31"/>
        <v>39053</v>
      </c>
      <c r="O183" s="40">
        <f t="shared" si="31"/>
        <v>700387</v>
      </c>
      <c r="P183" s="40">
        <f t="shared" si="31"/>
        <v>3306870</v>
      </c>
      <c r="Q183" s="40">
        <f t="shared" si="31"/>
        <v>8312005</v>
      </c>
      <c r="R183" s="41">
        <f>R184+R203+R204+R229+R241+R248+R249+R250</f>
        <v>7990365</v>
      </c>
      <c r="S183" s="41">
        <f>S184+S203+S204+S229+S241+S248+S250</f>
        <v>0</v>
      </c>
      <c r="T183" s="42">
        <f t="shared" si="24"/>
        <v>53084173</v>
      </c>
      <c r="U183" s="43"/>
    </row>
    <row r="184" spans="1:21" ht="15">
      <c r="A184" s="127" t="s">
        <v>101</v>
      </c>
      <c r="B184" s="128" t="s">
        <v>220</v>
      </c>
      <c r="C184" s="129">
        <f>SUM(C185:C201)</f>
        <v>5064761</v>
      </c>
      <c r="D184" s="129">
        <f aca="true" t="shared" si="32" ref="D184:Q184">SUM(D185:D202)</f>
        <v>0</v>
      </c>
      <c r="E184" s="129">
        <f t="shared" si="32"/>
        <v>0</v>
      </c>
      <c r="F184" s="129">
        <f>SUM(F185:F202)</f>
        <v>0</v>
      </c>
      <c r="G184" s="129">
        <f t="shared" si="32"/>
        <v>0</v>
      </c>
      <c r="H184" s="129">
        <f t="shared" si="32"/>
        <v>0</v>
      </c>
      <c r="I184" s="129">
        <f t="shared" si="32"/>
        <v>0</v>
      </c>
      <c r="J184" s="129">
        <f t="shared" si="32"/>
        <v>0</v>
      </c>
      <c r="K184" s="129">
        <f t="shared" si="32"/>
        <v>416022</v>
      </c>
      <c r="L184" s="129">
        <f t="shared" si="32"/>
        <v>0</v>
      </c>
      <c r="M184" s="129">
        <f t="shared" si="32"/>
        <v>0</v>
      </c>
      <c r="N184" s="129">
        <f t="shared" si="32"/>
        <v>0</v>
      </c>
      <c r="O184" s="129">
        <f t="shared" si="32"/>
        <v>0</v>
      </c>
      <c r="P184" s="129">
        <f t="shared" si="32"/>
        <v>1877201</v>
      </c>
      <c r="Q184" s="129">
        <f t="shared" si="32"/>
        <v>2141787</v>
      </c>
      <c r="R184" s="129">
        <f>SUM(R185:R202)</f>
        <v>2901760</v>
      </c>
      <c r="S184" s="129">
        <f>SUM(S185:S202)</f>
        <v>0</v>
      </c>
      <c r="T184" s="47">
        <f t="shared" si="24"/>
        <v>12401531</v>
      </c>
      <c r="U184" s="43"/>
    </row>
    <row r="185" spans="1:21" ht="15">
      <c r="A185" s="48" t="s">
        <v>221</v>
      </c>
      <c r="B185" s="49" t="s">
        <v>102</v>
      </c>
      <c r="C185" s="9">
        <f>866212+5562+15910+250+53314</f>
        <v>941248</v>
      </c>
      <c r="D185" s="1"/>
      <c r="E185" s="1"/>
      <c r="F185" s="9"/>
      <c r="G185" s="9"/>
      <c r="H185" s="1"/>
      <c r="I185" s="1"/>
      <c r="J185" s="1"/>
      <c r="K185" s="1"/>
      <c r="L185" s="1"/>
      <c r="M185" s="1"/>
      <c r="N185" s="1"/>
      <c r="O185" s="9"/>
      <c r="P185" s="9"/>
      <c r="Q185" s="9"/>
      <c r="R185" s="9"/>
      <c r="S185" s="9"/>
      <c r="T185" s="135">
        <f t="shared" si="24"/>
        <v>941248</v>
      </c>
      <c r="U185" s="43"/>
    </row>
    <row r="186" spans="1:21" ht="15">
      <c r="A186" s="48" t="s">
        <v>222</v>
      </c>
      <c r="B186" s="49" t="s">
        <v>103</v>
      </c>
      <c r="C186" s="9">
        <f>620403+11310+1862+28289</f>
        <v>661864</v>
      </c>
      <c r="D186" s="1"/>
      <c r="E186" s="1"/>
      <c r="F186" s="9"/>
      <c r="G186" s="9"/>
      <c r="H186" s="1"/>
      <c r="I186" s="1"/>
      <c r="J186" s="1"/>
      <c r="K186" s="1"/>
      <c r="L186" s="1"/>
      <c r="M186" s="1"/>
      <c r="N186" s="1"/>
      <c r="O186" s="9"/>
      <c r="P186" s="9"/>
      <c r="Q186" s="9"/>
      <c r="R186" s="9"/>
      <c r="S186" s="9"/>
      <c r="T186" s="135">
        <f t="shared" si="24"/>
        <v>661864</v>
      </c>
      <c r="U186" s="43"/>
    </row>
    <row r="187" spans="1:21" ht="15">
      <c r="A187" s="48" t="s">
        <v>223</v>
      </c>
      <c r="B187" s="49" t="s">
        <v>104</v>
      </c>
      <c r="C187" s="9">
        <f>651038+12330+45871</f>
        <v>709239</v>
      </c>
      <c r="D187" s="1"/>
      <c r="E187" s="1"/>
      <c r="F187" s="9"/>
      <c r="G187" s="9"/>
      <c r="H187" s="1"/>
      <c r="I187" s="1"/>
      <c r="J187" s="1"/>
      <c r="K187" s="1"/>
      <c r="L187" s="1"/>
      <c r="M187" s="1"/>
      <c r="N187" s="1"/>
      <c r="O187" s="9"/>
      <c r="P187" s="9"/>
      <c r="Q187" s="9"/>
      <c r="R187" s="9"/>
      <c r="S187" s="9"/>
      <c r="T187" s="135">
        <f t="shared" si="24"/>
        <v>709239</v>
      </c>
      <c r="U187" s="43"/>
    </row>
    <row r="188" spans="1:21" ht="15">
      <c r="A188" s="48" t="s">
        <v>224</v>
      </c>
      <c r="B188" s="49" t="s">
        <v>105</v>
      </c>
      <c r="C188" s="9">
        <f>742565+14630+46786</f>
        <v>803981</v>
      </c>
      <c r="D188" s="1"/>
      <c r="E188" s="1"/>
      <c r="F188" s="9"/>
      <c r="G188" s="9"/>
      <c r="H188" s="1"/>
      <c r="I188" s="1"/>
      <c r="J188" s="1"/>
      <c r="K188" s="1"/>
      <c r="L188" s="1"/>
      <c r="M188" s="1"/>
      <c r="N188" s="1"/>
      <c r="O188" s="9"/>
      <c r="P188" s="9"/>
      <c r="Q188" s="9"/>
      <c r="R188" s="9"/>
      <c r="S188" s="9"/>
      <c r="T188" s="135">
        <f t="shared" si="24"/>
        <v>803981</v>
      </c>
      <c r="U188" s="43"/>
    </row>
    <row r="189" spans="1:21" ht="15">
      <c r="A189" s="48" t="s">
        <v>225</v>
      </c>
      <c r="B189" s="49" t="s">
        <v>106</v>
      </c>
      <c r="C189" s="9">
        <f>409914+6375+19140</f>
        <v>435429</v>
      </c>
      <c r="D189" s="1"/>
      <c r="E189" s="1"/>
      <c r="F189" s="9"/>
      <c r="G189" s="9"/>
      <c r="H189" s="1"/>
      <c r="I189" s="1"/>
      <c r="J189" s="1"/>
      <c r="K189" s="1"/>
      <c r="L189" s="1"/>
      <c r="M189" s="1"/>
      <c r="N189" s="1"/>
      <c r="O189" s="9"/>
      <c r="P189" s="9"/>
      <c r="Q189" s="9"/>
      <c r="R189" s="9"/>
      <c r="S189" s="9"/>
      <c r="T189" s="135">
        <f t="shared" si="24"/>
        <v>435429</v>
      </c>
      <c r="U189" s="43"/>
    </row>
    <row r="190" spans="1:21" ht="15">
      <c r="A190" s="48" t="s">
        <v>226</v>
      </c>
      <c r="B190" s="49" t="s">
        <v>126</v>
      </c>
      <c r="C190" s="9">
        <f>783618+15395+2035+51134</f>
        <v>852182</v>
      </c>
      <c r="D190" s="1"/>
      <c r="E190" s="1"/>
      <c r="F190" s="9"/>
      <c r="G190" s="9"/>
      <c r="H190" s="1"/>
      <c r="I190" s="1"/>
      <c r="J190" s="1"/>
      <c r="K190" s="1"/>
      <c r="L190" s="1"/>
      <c r="M190" s="1"/>
      <c r="N190" s="1"/>
      <c r="O190" s="9"/>
      <c r="P190" s="9"/>
      <c r="Q190" s="9"/>
      <c r="R190" s="9"/>
      <c r="S190" s="9"/>
      <c r="T190" s="135">
        <f t="shared" si="24"/>
        <v>852182</v>
      </c>
      <c r="U190" s="43"/>
    </row>
    <row r="191" spans="1:21" ht="15">
      <c r="A191" s="48" t="s">
        <v>227</v>
      </c>
      <c r="B191" s="49" t="s">
        <v>141</v>
      </c>
      <c r="C191" s="9">
        <f>408541+7340+23937</f>
        <v>439818</v>
      </c>
      <c r="D191" s="9"/>
      <c r="E191" s="9"/>
      <c r="F191" s="9"/>
      <c r="G191" s="9"/>
      <c r="H191" s="1"/>
      <c r="I191" s="1"/>
      <c r="J191" s="1"/>
      <c r="K191" s="9"/>
      <c r="L191" s="9"/>
      <c r="M191" s="9"/>
      <c r="N191" s="9"/>
      <c r="O191" s="9"/>
      <c r="P191" s="9"/>
      <c r="Q191" s="9"/>
      <c r="R191" s="9"/>
      <c r="S191" s="9"/>
      <c r="T191" s="135">
        <f t="shared" si="24"/>
        <v>439818</v>
      </c>
      <c r="U191" s="43"/>
    </row>
    <row r="192" spans="1:21" ht="15">
      <c r="A192" s="48" t="s">
        <v>228</v>
      </c>
      <c r="B192" s="49" t="s">
        <v>142</v>
      </c>
      <c r="C192" s="9"/>
      <c r="D192" s="9"/>
      <c r="E192" s="9"/>
      <c r="F192" s="9"/>
      <c r="G192" s="9"/>
      <c r="H192" s="1"/>
      <c r="I192" s="1"/>
      <c r="J192" s="1"/>
      <c r="K192" s="1">
        <v>416022</v>
      </c>
      <c r="L192" s="9"/>
      <c r="M192" s="9"/>
      <c r="N192" s="9"/>
      <c r="O192" s="9"/>
      <c r="P192" s="9"/>
      <c r="Q192" s="9"/>
      <c r="R192" s="9"/>
      <c r="S192" s="9"/>
      <c r="T192" s="135">
        <f t="shared" si="24"/>
        <v>416022</v>
      </c>
      <c r="U192" s="43"/>
    </row>
    <row r="193" spans="1:21" ht="15">
      <c r="A193" s="161" t="s">
        <v>101</v>
      </c>
      <c r="B193" s="49" t="s">
        <v>552</v>
      </c>
      <c r="C193" s="9"/>
      <c r="D193" s="9"/>
      <c r="E193" s="9"/>
      <c r="F193" s="9"/>
      <c r="G193" s="9"/>
      <c r="H193" s="1"/>
      <c r="I193" s="1"/>
      <c r="J193" s="1"/>
      <c r="K193" s="9"/>
      <c r="L193" s="9"/>
      <c r="M193" s="9"/>
      <c r="N193" s="9"/>
      <c r="O193" s="9"/>
      <c r="P193" s="9"/>
      <c r="Q193" s="9"/>
      <c r="R193" s="9">
        <v>1308688</v>
      </c>
      <c r="S193" s="9"/>
      <c r="T193" s="135">
        <f t="shared" si="24"/>
        <v>1308688</v>
      </c>
      <c r="U193" s="43"/>
    </row>
    <row r="194" spans="1:21" ht="15">
      <c r="A194" s="161" t="s">
        <v>101</v>
      </c>
      <c r="B194" s="49" t="s">
        <v>553</v>
      </c>
      <c r="C194" s="9"/>
      <c r="D194" s="9"/>
      <c r="E194" s="9"/>
      <c r="F194" s="9"/>
      <c r="G194" s="9"/>
      <c r="H194" s="1"/>
      <c r="I194" s="1"/>
      <c r="J194" s="1"/>
      <c r="K194" s="9"/>
      <c r="L194" s="9"/>
      <c r="M194" s="9"/>
      <c r="N194" s="9"/>
      <c r="O194" s="9"/>
      <c r="P194" s="9"/>
      <c r="Q194" s="9"/>
      <c r="R194" s="9">
        <v>803699</v>
      </c>
      <c r="S194" s="9"/>
      <c r="T194" s="135">
        <f t="shared" si="24"/>
        <v>803699</v>
      </c>
      <c r="U194" s="43"/>
    </row>
    <row r="195" spans="1:21" ht="15">
      <c r="A195" s="161" t="s">
        <v>101</v>
      </c>
      <c r="B195" s="49" t="s">
        <v>554</v>
      </c>
      <c r="C195" s="9"/>
      <c r="D195" s="9"/>
      <c r="E195" s="9"/>
      <c r="F195" s="9"/>
      <c r="G195" s="9"/>
      <c r="H195" s="1"/>
      <c r="I195" s="1"/>
      <c r="J195" s="1"/>
      <c r="K195" s="9"/>
      <c r="L195" s="9"/>
      <c r="M195" s="9"/>
      <c r="N195" s="9"/>
      <c r="O195" s="9"/>
      <c r="P195" s="9"/>
      <c r="Q195" s="9"/>
      <c r="R195" s="9">
        <v>401212</v>
      </c>
      <c r="S195" s="9"/>
      <c r="T195" s="135">
        <f t="shared" si="24"/>
        <v>401212</v>
      </c>
      <c r="U195" s="43"/>
    </row>
    <row r="196" spans="1:21" ht="15">
      <c r="A196" s="161" t="s">
        <v>101</v>
      </c>
      <c r="B196" s="49" t="s">
        <v>555</v>
      </c>
      <c r="C196" s="9"/>
      <c r="D196" s="9"/>
      <c r="E196" s="9"/>
      <c r="F196" s="9"/>
      <c r="G196" s="9"/>
      <c r="H196" s="1"/>
      <c r="I196" s="1"/>
      <c r="J196" s="1"/>
      <c r="K196" s="9"/>
      <c r="L196" s="9"/>
      <c r="M196" s="9"/>
      <c r="N196" s="9"/>
      <c r="O196" s="9"/>
      <c r="P196" s="9">
        <v>817506</v>
      </c>
      <c r="Q196" s="9"/>
      <c r="R196" s="9"/>
      <c r="S196" s="9"/>
      <c r="T196" s="135">
        <f t="shared" si="24"/>
        <v>817506</v>
      </c>
      <c r="U196" s="43"/>
    </row>
    <row r="197" spans="1:21" ht="15">
      <c r="A197" s="161" t="s">
        <v>101</v>
      </c>
      <c r="B197" s="49" t="s">
        <v>556</v>
      </c>
      <c r="C197" s="9"/>
      <c r="D197" s="9"/>
      <c r="E197" s="9"/>
      <c r="F197" s="9"/>
      <c r="G197" s="9"/>
      <c r="H197" s="1"/>
      <c r="I197" s="1"/>
      <c r="J197" s="1"/>
      <c r="K197" s="9"/>
      <c r="L197" s="9"/>
      <c r="M197" s="9"/>
      <c r="N197" s="9"/>
      <c r="O197" s="9"/>
      <c r="P197" s="9">
        <v>384236</v>
      </c>
      <c r="Q197" s="9"/>
      <c r="R197" s="9"/>
      <c r="S197" s="9"/>
      <c r="T197" s="135">
        <f t="shared" si="24"/>
        <v>384236</v>
      </c>
      <c r="U197" s="43"/>
    </row>
    <row r="198" spans="1:21" ht="15">
      <c r="A198" s="161" t="s">
        <v>101</v>
      </c>
      <c r="B198" s="49" t="s">
        <v>557</v>
      </c>
      <c r="C198" s="9"/>
      <c r="D198" s="9"/>
      <c r="E198" s="9"/>
      <c r="F198" s="9"/>
      <c r="G198" s="9"/>
      <c r="H198" s="1"/>
      <c r="I198" s="1"/>
      <c r="J198" s="1"/>
      <c r="K198" s="9"/>
      <c r="L198" s="9"/>
      <c r="M198" s="9"/>
      <c r="N198" s="9"/>
      <c r="O198" s="9"/>
      <c r="P198" s="9">
        <v>675459</v>
      </c>
      <c r="Q198" s="9"/>
      <c r="R198" s="9"/>
      <c r="S198" s="9"/>
      <c r="T198" s="135">
        <f t="shared" si="24"/>
        <v>675459</v>
      </c>
      <c r="U198" s="43"/>
    </row>
    <row r="199" spans="1:21" ht="15">
      <c r="A199" s="161" t="s">
        <v>101</v>
      </c>
      <c r="B199" s="49" t="s">
        <v>587</v>
      </c>
      <c r="C199" s="9"/>
      <c r="D199" s="9"/>
      <c r="E199" s="9"/>
      <c r="F199" s="9"/>
      <c r="G199" s="9"/>
      <c r="H199" s="1"/>
      <c r="I199" s="1"/>
      <c r="J199" s="1"/>
      <c r="K199" s="9"/>
      <c r="L199" s="9"/>
      <c r="M199" s="9"/>
      <c r="N199" s="9"/>
      <c r="O199" s="9"/>
      <c r="P199" s="9"/>
      <c r="Q199" s="9">
        <f>1172727+51068</f>
        <v>1223795</v>
      </c>
      <c r="R199" s="9"/>
      <c r="S199" s="9"/>
      <c r="T199" s="135">
        <f t="shared" si="24"/>
        <v>1223795</v>
      </c>
      <c r="U199" s="43"/>
    </row>
    <row r="200" spans="1:21" ht="15">
      <c r="A200" s="161" t="s">
        <v>101</v>
      </c>
      <c r="B200" s="49" t="s">
        <v>586</v>
      </c>
      <c r="C200" s="9"/>
      <c r="D200" s="9"/>
      <c r="E200" s="9"/>
      <c r="F200" s="9"/>
      <c r="G200" s="9"/>
      <c r="H200" s="1"/>
      <c r="I200" s="1"/>
      <c r="J200" s="1"/>
      <c r="K200" s="9"/>
      <c r="L200" s="9"/>
      <c r="M200" s="9"/>
      <c r="N200" s="9"/>
      <c r="O200" s="9"/>
      <c r="P200" s="9"/>
      <c r="Q200" s="9">
        <f>920866-2874</f>
        <v>917992</v>
      </c>
      <c r="R200" s="9"/>
      <c r="S200" s="9"/>
      <c r="T200" s="135">
        <f t="shared" si="24"/>
        <v>917992</v>
      </c>
      <c r="U200" s="43"/>
    </row>
    <row r="201" spans="1:21" ht="30">
      <c r="A201" s="48" t="s">
        <v>229</v>
      </c>
      <c r="B201" s="49" t="s">
        <v>419</v>
      </c>
      <c r="C201" s="9">
        <v>221000</v>
      </c>
      <c r="D201" s="9"/>
      <c r="E201" s="9"/>
      <c r="F201" s="9"/>
      <c r="G201" s="9"/>
      <c r="H201" s="1"/>
      <c r="I201" s="1"/>
      <c r="J201" s="1"/>
      <c r="K201" s="9"/>
      <c r="L201" s="9"/>
      <c r="M201" s="9"/>
      <c r="N201" s="9"/>
      <c r="O201" s="9"/>
      <c r="P201" s="1"/>
      <c r="Q201" s="9"/>
      <c r="R201" s="9">
        <v>325161</v>
      </c>
      <c r="S201" s="9"/>
      <c r="T201" s="135">
        <f t="shared" si="24"/>
        <v>546161</v>
      </c>
      <c r="U201" s="43"/>
    </row>
    <row r="202" spans="1:21" ht="30">
      <c r="A202" s="161" t="s">
        <v>101</v>
      </c>
      <c r="B202" s="49" t="s">
        <v>626</v>
      </c>
      <c r="C202" s="9"/>
      <c r="D202" s="9"/>
      <c r="E202" s="9"/>
      <c r="F202" s="9"/>
      <c r="G202" s="9"/>
      <c r="H202" s="1"/>
      <c r="I202" s="9"/>
      <c r="J202" s="9"/>
      <c r="K202" s="9"/>
      <c r="L202" s="9"/>
      <c r="M202" s="9"/>
      <c r="N202" s="9"/>
      <c r="O202" s="9"/>
      <c r="P202" s="9"/>
      <c r="Q202" s="9"/>
      <c r="R202" s="9">
        <v>63000</v>
      </c>
      <c r="S202" s="9"/>
      <c r="T202" s="135">
        <f t="shared" si="24"/>
        <v>63000</v>
      </c>
      <c r="U202" s="43"/>
    </row>
    <row r="203" spans="1:21" ht="15">
      <c r="A203" s="136" t="s">
        <v>107</v>
      </c>
      <c r="B203" s="86" t="s">
        <v>230</v>
      </c>
      <c r="C203" s="9">
        <f>1058476+250+34616+327516+15985-18720</f>
        <v>1418123</v>
      </c>
      <c r="D203" s="9"/>
      <c r="E203" s="9"/>
      <c r="F203" s="9"/>
      <c r="G203" s="9"/>
      <c r="H203" s="190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35">
        <f t="shared" si="24"/>
        <v>1418123</v>
      </c>
      <c r="U203" s="43"/>
    </row>
    <row r="204" spans="1:21" ht="29.25">
      <c r="A204" s="136" t="s">
        <v>145</v>
      </c>
      <c r="B204" s="86" t="s">
        <v>231</v>
      </c>
      <c r="C204" s="14">
        <f>SUM(C205:C228)</f>
        <v>6449464</v>
      </c>
      <c r="D204" s="14">
        <f aca="true" t="shared" si="33" ref="D204:Q204">SUM(D205:D228)</f>
        <v>0</v>
      </c>
      <c r="E204" s="14">
        <f t="shared" si="33"/>
        <v>0</v>
      </c>
      <c r="F204" s="14"/>
      <c r="G204" s="14">
        <f t="shared" si="33"/>
        <v>0</v>
      </c>
      <c r="H204" s="14">
        <f t="shared" si="33"/>
        <v>1168790</v>
      </c>
      <c r="I204" s="14">
        <f t="shared" si="33"/>
        <v>0</v>
      </c>
      <c r="J204" s="14">
        <f t="shared" si="33"/>
        <v>464208</v>
      </c>
      <c r="K204" s="14">
        <f t="shared" si="33"/>
        <v>676719</v>
      </c>
      <c r="L204" s="14">
        <f t="shared" si="33"/>
        <v>0</v>
      </c>
      <c r="M204" s="14">
        <f t="shared" si="33"/>
        <v>57338</v>
      </c>
      <c r="N204" s="14">
        <f t="shared" si="33"/>
        <v>22960</v>
      </c>
      <c r="O204" s="14">
        <f t="shared" si="33"/>
        <v>682042</v>
      </c>
      <c r="P204" s="14">
        <f t="shared" si="33"/>
        <v>970863</v>
      </c>
      <c r="Q204" s="14">
        <f t="shared" si="33"/>
        <v>4778975</v>
      </c>
      <c r="R204" s="14">
        <f>SUM(R205:R228)</f>
        <v>3874773</v>
      </c>
      <c r="S204" s="14">
        <f>SUM(S205:S228)</f>
        <v>0</v>
      </c>
      <c r="T204" s="135">
        <f t="shared" si="24"/>
        <v>19146132</v>
      </c>
      <c r="U204" s="43"/>
    </row>
    <row r="205" spans="1:21" ht="15">
      <c r="A205" s="48" t="s">
        <v>232</v>
      </c>
      <c r="B205" s="49" t="s">
        <v>108</v>
      </c>
      <c r="C205" s="9">
        <f>2073545+64749+70947-17174+692207+13207-64065</f>
        <v>2833416</v>
      </c>
      <c r="D205" s="1"/>
      <c r="E205" s="1"/>
      <c r="F205" s="9"/>
      <c r="G205" s="9"/>
      <c r="H205" s="1"/>
      <c r="I205" s="1"/>
      <c r="J205" s="1"/>
      <c r="K205" s="1"/>
      <c r="L205" s="1"/>
      <c r="M205" s="1"/>
      <c r="N205" s="1"/>
      <c r="O205" s="9"/>
      <c r="P205" s="9"/>
      <c r="Q205" s="9"/>
      <c r="R205" s="9"/>
      <c r="S205" s="9"/>
      <c r="T205" s="135">
        <f t="shared" si="24"/>
        <v>2833416</v>
      </c>
      <c r="U205" s="43"/>
    </row>
    <row r="206" spans="1:21" ht="15">
      <c r="A206" s="48" t="s">
        <v>233</v>
      </c>
      <c r="B206" s="49" t="s">
        <v>234</v>
      </c>
      <c r="C206" s="9">
        <f>1081645+1350+31825+341068+11026-25219</f>
        <v>1441695</v>
      </c>
      <c r="D206" s="1"/>
      <c r="E206" s="1"/>
      <c r="F206" s="9"/>
      <c r="G206" s="9"/>
      <c r="H206" s="1"/>
      <c r="I206" s="1"/>
      <c r="J206" s="1"/>
      <c r="K206" s="1"/>
      <c r="L206" s="1"/>
      <c r="M206" s="1"/>
      <c r="N206" s="1"/>
      <c r="O206" s="9"/>
      <c r="P206" s="9"/>
      <c r="Q206" s="9"/>
      <c r="R206" s="9"/>
      <c r="S206" s="9"/>
      <c r="T206" s="135">
        <f t="shared" si="24"/>
        <v>1441695</v>
      </c>
      <c r="U206" s="43"/>
    </row>
    <row r="207" spans="1:21" ht="15">
      <c r="A207" s="48" t="s">
        <v>235</v>
      </c>
      <c r="B207" s="49" t="s">
        <v>109</v>
      </c>
      <c r="C207" s="9">
        <f>1046242+800+31296+298727+8879-18345</f>
        <v>1367599</v>
      </c>
      <c r="D207" s="1"/>
      <c r="E207" s="1"/>
      <c r="F207" s="9"/>
      <c r="G207" s="9"/>
      <c r="H207" s="1"/>
      <c r="I207" s="1"/>
      <c r="J207" s="1"/>
      <c r="K207" s="1"/>
      <c r="L207" s="1"/>
      <c r="M207" s="1"/>
      <c r="N207" s="1"/>
      <c r="O207" s="9"/>
      <c r="P207" s="9"/>
      <c r="Q207" s="9"/>
      <c r="R207" s="9"/>
      <c r="S207" s="9"/>
      <c r="T207" s="135">
        <f t="shared" si="24"/>
        <v>1367599</v>
      </c>
      <c r="U207" s="43"/>
    </row>
    <row r="208" spans="1:21" ht="15">
      <c r="A208" s="48" t="s">
        <v>236</v>
      </c>
      <c r="B208" s="49" t="s">
        <v>110</v>
      </c>
      <c r="C208" s="9">
        <f>420256+170+11164+106461+7209-7988</f>
        <v>537272</v>
      </c>
      <c r="D208" s="1"/>
      <c r="E208" s="1"/>
      <c r="F208" s="9"/>
      <c r="G208" s="9"/>
      <c r="H208" s="1"/>
      <c r="I208" s="1"/>
      <c r="J208" s="1"/>
      <c r="K208" s="1"/>
      <c r="L208" s="1"/>
      <c r="M208" s="1"/>
      <c r="N208" s="1"/>
      <c r="O208" s="9"/>
      <c r="P208" s="9"/>
      <c r="Q208" s="9"/>
      <c r="R208" s="9"/>
      <c r="S208" s="9"/>
      <c r="T208" s="135">
        <f t="shared" si="24"/>
        <v>537272</v>
      </c>
      <c r="U208" s="43"/>
    </row>
    <row r="209" spans="1:21" ht="15">
      <c r="A209" s="48" t="s">
        <v>237</v>
      </c>
      <c r="B209" s="49" t="s">
        <v>143</v>
      </c>
      <c r="C209" s="9"/>
      <c r="D209" s="1"/>
      <c r="E209" s="1"/>
      <c r="F209" s="9"/>
      <c r="G209" s="9"/>
      <c r="H209" s="1"/>
      <c r="I209" s="1"/>
      <c r="J209" s="1">
        <f>455006+9202</f>
        <v>464208</v>
      </c>
      <c r="K209" s="9"/>
      <c r="L209" s="9"/>
      <c r="M209" s="9"/>
      <c r="N209" s="9"/>
      <c r="O209" s="9"/>
      <c r="P209" s="9"/>
      <c r="Q209" s="9"/>
      <c r="R209" s="9"/>
      <c r="S209" s="9"/>
      <c r="T209" s="135">
        <f t="shared" si="24"/>
        <v>464208</v>
      </c>
      <c r="U209" s="43"/>
    </row>
    <row r="210" spans="1:21" ht="15">
      <c r="A210" s="48" t="s">
        <v>238</v>
      </c>
      <c r="B210" s="49" t="s">
        <v>144</v>
      </c>
      <c r="C210" s="9"/>
      <c r="D210" s="1"/>
      <c r="E210" s="1"/>
      <c r="F210" s="9"/>
      <c r="G210" s="9"/>
      <c r="H210" s="1"/>
      <c r="I210" s="1"/>
      <c r="J210" s="1"/>
      <c r="K210" s="1">
        <f>676719</f>
        <v>676719</v>
      </c>
      <c r="L210" s="9"/>
      <c r="M210" s="9"/>
      <c r="N210" s="9"/>
      <c r="O210" s="9"/>
      <c r="P210" s="9"/>
      <c r="Q210" s="9"/>
      <c r="R210" s="9"/>
      <c r="S210" s="9"/>
      <c r="T210" s="135">
        <f t="shared" si="24"/>
        <v>676719</v>
      </c>
      <c r="U210" s="43"/>
    </row>
    <row r="211" spans="1:21" ht="15">
      <c r="A211" s="48" t="s">
        <v>239</v>
      </c>
      <c r="B211" s="49" t="s">
        <v>263</v>
      </c>
      <c r="C211" s="9"/>
      <c r="D211" s="1"/>
      <c r="E211" s="1"/>
      <c r="F211" s="9"/>
      <c r="G211" s="9"/>
      <c r="H211" s="1"/>
      <c r="I211" s="1"/>
      <c r="J211" s="1"/>
      <c r="K211" s="9"/>
      <c r="L211" s="9"/>
      <c r="M211" s="9">
        <f>45197+12141</f>
        <v>57338</v>
      </c>
      <c r="N211" s="90">
        <v>22960</v>
      </c>
      <c r="O211" s="52">
        <f>668804+13238</f>
        <v>682042</v>
      </c>
      <c r="P211" s="90"/>
      <c r="Q211" s="90"/>
      <c r="R211" s="52"/>
      <c r="S211" s="9"/>
      <c r="T211" s="135">
        <f aca="true" t="shared" si="34" ref="T211:T274">SUM(C211:S211)</f>
        <v>762340</v>
      </c>
      <c r="U211" s="43"/>
    </row>
    <row r="212" spans="1:21" ht="15">
      <c r="A212" s="48" t="s">
        <v>240</v>
      </c>
      <c r="B212" s="49" t="s">
        <v>146</v>
      </c>
      <c r="C212" s="9"/>
      <c r="D212" s="1"/>
      <c r="E212" s="1"/>
      <c r="F212" s="9"/>
      <c r="G212" s="9"/>
      <c r="H212" s="55">
        <f>1159236+9554</f>
        <v>1168790</v>
      </c>
      <c r="I212" s="1"/>
      <c r="J212" s="1"/>
      <c r="K212" s="9"/>
      <c r="L212" s="9"/>
      <c r="M212" s="9"/>
      <c r="N212" s="9"/>
      <c r="O212" s="9"/>
      <c r="P212" s="9"/>
      <c r="Q212" s="9"/>
      <c r="R212" s="9"/>
      <c r="S212" s="9"/>
      <c r="T212" s="135">
        <f t="shared" si="34"/>
        <v>1168790</v>
      </c>
      <c r="U212" s="43"/>
    </row>
    <row r="213" spans="1:21" ht="15">
      <c r="A213" s="161" t="s">
        <v>145</v>
      </c>
      <c r="B213" s="49" t="s">
        <v>558</v>
      </c>
      <c r="C213" s="9"/>
      <c r="D213" s="9"/>
      <c r="E213" s="9"/>
      <c r="F213" s="9"/>
      <c r="G213" s="9"/>
      <c r="H213" s="55"/>
      <c r="I213" s="1"/>
      <c r="J213" s="1"/>
      <c r="K213" s="9"/>
      <c r="L213" s="9"/>
      <c r="M213" s="9"/>
      <c r="N213" s="9"/>
      <c r="O213" s="9"/>
      <c r="P213" s="9">
        <v>495483</v>
      </c>
      <c r="Q213" s="9"/>
      <c r="R213" s="9"/>
      <c r="S213" s="9"/>
      <c r="T213" s="135">
        <f t="shared" si="34"/>
        <v>495483</v>
      </c>
      <c r="U213" s="43"/>
    </row>
    <row r="214" spans="1:21" ht="15">
      <c r="A214" s="161" t="s">
        <v>145</v>
      </c>
      <c r="B214" s="49" t="s">
        <v>559</v>
      </c>
      <c r="C214" s="9"/>
      <c r="D214" s="9"/>
      <c r="E214" s="9"/>
      <c r="F214" s="9"/>
      <c r="G214" s="9"/>
      <c r="H214" s="55"/>
      <c r="I214" s="1"/>
      <c r="J214" s="1"/>
      <c r="K214" s="9"/>
      <c r="L214" s="9"/>
      <c r="M214" s="9"/>
      <c r="N214" s="9"/>
      <c r="O214" s="9"/>
      <c r="P214" s="9">
        <v>453123</v>
      </c>
      <c r="Q214" s="9"/>
      <c r="R214" s="9"/>
      <c r="S214" s="9"/>
      <c r="T214" s="135">
        <f t="shared" si="34"/>
        <v>453123</v>
      </c>
      <c r="U214" s="43"/>
    </row>
    <row r="215" spans="1:21" ht="30">
      <c r="A215" s="161" t="s">
        <v>145</v>
      </c>
      <c r="B215" s="3" t="s">
        <v>560</v>
      </c>
      <c r="C215" s="9"/>
      <c r="D215" s="9"/>
      <c r="E215" s="9"/>
      <c r="F215" s="9"/>
      <c r="G215" s="9"/>
      <c r="H215" s="55"/>
      <c r="I215" s="1"/>
      <c r="J215" s="1"/>
      <c r="K215" s="9"/>
      <c r="L215" s="9"/>
      <c r="M215" s="9"/>
      <c r="N215" s="9"/>
      <c r="O215" s="9"/>
      <c r="P215" s="9">
        <v>10085</v>
      </c>
      <c r="Q215" s="9"/>
      <c r="R215" s="9"/>
      <c r="S215" s="9"/>
      <c r="T215" s="135">
        <f t="shared" si="34"/>
        <v>10085</v>
      </c>
      <c r="U215" s="43"/>
    </row>
    <row r="216" spans="1:21" ht="30">
      <c r="A216" s="161" t="s">
        <v>145</v>
      </c>
      <c r="B216" s="3" t="s">
        <v>561</v>
      </c>
      <c r="C216" s="9"/>
      <c r="D216" s="9"/>
      <c r="E216" s="9"/>
      <c r="F216" s="9"/>
      <c r="G216" s="9"/>
      <c r="H216" s="55"/>
      <c r="I216" s="1"/>
      <c r="J216" s="1"/>
      <c r="K216" s="9"/>
      <c r="L216" s="9"/>
      <c r="M216" s="9"/>
      <c r="N216" s="9"/>
      <c r="O216" s="9"/>
      <c r="P216" s="9">
        <v>12172</v>
      </c>
      <c r="Q216" s="9"/>
      <c r="R216" s="9"/>
      <c r="S216" s="9"/>
      <c r="T216" s="135">
        <f t="shared" si="34"/>
        <v>12172</v>
      </c>
      <c r="U216" s="43"/>
    </row>
    <row r="217" spans="1:21" ht="15">
      <c r="A217" s="161" t="s">
        <v>145</v>
      </c>
      <c r="B217" s="49" t="s">
        <v>588</v>
      </c>
      <c r="C217" s="9"/>
      <c r="D217" s="9"/>
      <c r="E217" s="9"/>
      <c r="F217" s="9"/>
      <c r="G217" s="9"/>
      <c r="H217" s="55"/>
      <c r="I217" s="1"/>
      <c r="J217" s="1"/>
      <c r="K217" s="9"/>
      <c r="L217" s="9"/>
      <c r="M217" s="9"/>
      <c r="N217" s="9"/>
      <c r="O217" s="9"/>
      <c r="P217" s="9"/>
      <c r="Q217" s="9">
        <f>979410+220279</f>
        <v>1199689</v>
      </c>
      <c r="R217" s="9"/>
      <c r="S217" s="9"/>
      <c r="T217" s="135">
        <f t="shared" si="34"/>
        <v>1199689</v>
      </c>
      <c r="U217" s="43"/>
    </row>
    <row r="218" spans="1:21" ht="15">
      <c r="A218" s="161" t="s">
        <v>145</v>
      </c>
      <c r="B218" s="49" t="s">
        <v>589</v>
      </c>
      <c r="C218" s="9"/>
      <c r="D218" s="9"/>
      <c r="E218" s="9"/>
      <c r="F218" s="9"/>
      <c r="G218" s="9"/>
      <c r="H218" s="55"/>
      <c r="I218" s="1"/>
      <c r="J218" s="1"/>
      <c r="K218" s="9"/>
      <c r="L218" s="9"/>
      <c r="M218" s="9"/>
      <c r="N218" s="9"/>
      <c r="O218" s="9"/>
      <c r="P218" s="9"/>
      <c r="Q218" s="9">
        <f>495544+81612+14152</f>
        <v>591308</v>
      </c>
      <c r="R218" s="9"/>
      <c r="S218" s="9"/>
      <c r="T218" s="135">
        <f t="shared" si="34"/>
        <v>591308</v>
      </c>
      <c r="U218" s="43"/>
    </row>
    <row r="219" spans="1:21" ht="15">
      <c r="A219" s="161" t="s">
        <v>145</v>
      </c>
      <c r="B219" s="49" t="s">
        <v>590</v>
      </c>
      <c r="C219" s="9"/>
      <c r="D219" s="9"/>
      <c r="E219" s="9"/>
      <c r="F219" s="9"/>
      <c r="G219" s="9"/>
      <c r="H219" s="55"/>
      <c r="I219" s="1"/>
      <c r="J219" s="1"/>
      <c r="K219" s="9"/>
      <c r="L219" s="9"/>
      <c r="M219" s="9"/>
      <c r="N219" s="9"/>
      <c r="O219" s="9"/>
      <c r="P219" s="9"/>
      <c r="Q219" s="9">
        <f>753197+98236</f>
        <v>851433</v>
      </c>
      <c r="R219" s="9"/>
      <c r="S219" s="9"/>
      <c r="T219" s="135">
        <f t="shared" si="34"/>
        <v>851433</v>
      </c>
      <c r="U219" s="43"/>
    </row>
    <row r="220" spans="1:21" ht="15">
      <c r="A220" s="161" t="s">
        <v>145</v>
      </c>
      <c r="B220" s="49" t="s">
        <v>591</v>
      </c>
      <c r="C220" s="9"/>
      <c r="D220" s="9"/>
      <c r="E220" s="9"/>
      <c r="F220" s="9"/>
      <c r="G220" s="9"/>
      <c r="H220" s="55"/>
      <c r="I220" s="1"/>
      <c r="J220" s="1"/>
      <c r="K220" s="9"/>
      <c r="L220" s="9"/>
      <c r="M220" s="9"/>
      <c r="N220" s="9"/>
      <c r="O220" s="9"/>
      <c r="P220" s="9"/>
      <c r="Q220" s="9">
        <f>432685+199508</f>
        <v>632193</v>
      </c>
      <c r="R220" s="9"/>
      <c r="S220" s="9"/>
      <c r="T220" s="135">
        <f t="shared" si="34"/>
        <v>632193</v>
      </c>
      <c r="U220" s="43"/>
    </row>
    <row r="221" spans="1:21" ht="15">
      <c r="A221" s="161" t="s">
        <v>145</v>
      </c>
      <c r="B221" s="49" t="s">
        <v>592</v>
      </c>
      <c r="C221" s="9"/>
      <c r="D221" s="9"/>
      <c r="E221" s="9"/>
      <c r="F221" s="9"/>
      <c r="G221" s="9"/>
      <c r="H221" s="55"/>
      <c r="I221" s="1"/>
      <c r="J221" s="1"/>
      <c r="K221" s="9"/>
      <c r="L221" s="9"/>
      <c r="M221" s="9"/>
      <c r="N221" s="9"/>
      <c r="O221" s="9"/>
      <c r="P221" s="9"/>
      <c r="Q221" s="9">
        <f>1121141+302280</f>
        <v>1423421</v>
      </c>
      <c r="R221" s="9"/>
      <c r="S221" s="9"/>
      <c r="T221" s="135">
        <f t="shared" si="34"/>
        <v>1423421</v>
      </c>
      <c r="U221" s="43"/>
    </row>
    <row r="222" spans="1:21" ht="34.5" customHeight="1">
      <c r="A222" s="161" t="s">
        <v>145</v>
      </c>
      <c r="B222" s="204" t="s">
        <v>593</v>
      </c>
      <c r="C222" s="9"/>
      <c r="D222" s="9"/>
      <c r="E222" s="9"/>
      <c r="F222" s="9"/>
      <c r="G222" s="9"/>
      <c r="H222" s="55"/>
      <c r="I222" s="1"/>
      <c r="J222" s="1"/>
      <c r="K222" s="9"/>
      <c r="L222" s="9"/>
      <c r="M222" s="9"/>
      <c r="N222" s="9"/>
      <c r="O222" s="9"/>
      <c r="P222" s="9"/>
      <c r="Q222" s="9">
        <v>63713</v>
      </c>
      <c r="R222" s="9"/>
      <c r="S222" s="9"/>
      <c r="T222" s="135">
        <f t="shared" si="34"/>
        <v>63713</v>
      </c>
      <c r="U222" s="43"/>
    </row>
    <row r="223" spans="1:21" ht="45">
      <c r="A223" s="161" t="s">
        <v>145</v>
      </c>
      <c r="B223" s="204" t="s">
        <v>594</v>
      </c>
      <c r="C223" s="9"/>
      <c r="D223" s="9"/>
      <c r="E223" s="9"/>
      <c r="F223" s="9"/>
      <c r="G223" s="9"/>
      <c r="H223" s="55"/>
      <c r="I223" s="1"/>
      <c r="J223" s="1"/>
      <c r="K223" s="9"/>
      <c r="L223" s="9"/>
      <c r="M223" s="9"/>
      <c r="N223" s="9"/>
      <c r="O223" s="9"/>
      <c r="P223" s="9"/>
      <c r="Q223" s="9">
        <v>17218</v>
      </c>
      <c r="R223" s="9"/>
      <c r="S223" s="9"/>
      <c r="T223" s="135">
        <f t="shared" si="34"/>
        <v>17218</v>
      </c>
      <c r="U223" s="43"/>
    </row>
    <row r="224" spans="1:21" ht="15">
      <c r="A224" s="161" t="s">
        <v>145</v>
      </c>
      <c r="B224" s="49" t="s">
        <v>627</v>
      </c>
      <c r="C224" s="9"/>
      <c r="D224" s="9"/>
      <c r="E224" s="9"/>
      <c r="F224" s="9"/>
      <c r="G224" s="9"/>
      <c r="H224" s="55"/>
      <c r="I224" s="1"/>
      <c r="J224" s="1"/>
      <c r="K224" s="9"/>
      <c r="L224" s="9"/>
      <c r="M224" s="9"/>
      <c r="N224" s="9"/>
      <c r="O224" s="9"/>
      <c r="P224" s="9"/>
      <c r="Q224" s="9"/>
      <c r="R224" s="9">
        <v>704934</v>
      </c>
      <c r="S224" s="9"/>
      <c r="T224" s="135">
        <f t="shared" si="34"/>
        <v>704934</v>
      </c>
      <c r="U224" s="43"/>
    </row>
    <row r="225" spans="1:21" ht="15">
      <c r="A225" s="161" t="s">
        <v>145</v>
      </c>
      <c r="B225" s="49" t="s">
        <v>628</v>
      </c>
      <c r="C225" s="9"/>
      <c r="D225" s="9"/>
      <c r="E225" s="9"/>
      <c r="F225" s="9"/>
      <c r="G225" s="9"/>
      <c r="H225" s="190"/>
      <c r="I225" s="1"/>
      <c r="J225" s="1"/>
      <c r="K225" s="9"/>
      <c r="L225" s="9"/>
      <c r="M225" s="9"/>
      <c r="N225" s="9"/>
      <c r="O225" s="9"/>
      <c r="P225" s="9"/>
      <c r="Q225" s="9"/>
      <c r="R225" s="9">
        <v>3010138</v>
      </c>
      <c r="S225" s="9"/>
      <c r="T225" s="135">
        <f t="shared" si="34"/>
        <v>3010138</v>
      </c>
      <c r="U225" s="43"/>
    </row>
    <row r="226" spans="1:21" ht="30">
      <c r="A226" s="161" t="s">
        <v>145</v>
      </c>
      <c r="B226" s="204" t="s">
        <v>326</v>
      </c>
      <c r="C226" s="9"/>
      <c r="D226" s="9"/>
      <c r="E226" s="9"/>
      <c r="F226" s="9"/>
      <c r="G226" s="9"/>
      <c r="H226" s="205"/>
      <c r="I226" s="9"/>
      <c r="J226" s="9"/>
      <c r="K226" s="9"/>
      <c r="L226" s="9"/>
      <c r="M226" s="9"/>
      <c r="N226" s="9"/>
      <c r="O226" s="9"/>
      <c r="P226" s="9"/>
      <c r="Q226" s="9"/>
      <c r="R226" s="9">
        <v>78145</v>
      </c>
      <c r="S226" s="9"/>
      <c r="T226" s="135">
        <f t="shared" si="34"/>
        <v>78145</v>
      </c>
      <c r="U226" s="43"/>
    </row>
    <row r="227" spans="1:21" ht="15">
      <c r="A227" s="161" t="s">
        <v>145</v>
      </c>
      <c r="B227" s="49" t="s">
        <v>644</v>
      </c>
      <c r="C227" s="9"/>
      <c r="D227" s="9"/>
      <c r="E227" s="9"/>
      <c r="F227" s="9"/>
      <c r="G227" s="9"/>
      <c r="H227" s="205"/>
      <c r="I227" s="9"/>
      <c r="J227" s="9"/>
      <c r="K227" s="9"/>
      <c r="L227" s="9"/>
      <c r="M227" s="9"/>
      <c r="N227" s="9"/>
      <c r="O227" s="9"/>
      <c r="P227" s="9"/>
      <c r="Q227" s="9"/>
      <c r="R227" s="9">
        <v>21000</v>
      </c>
      <c r="S227" s="9"/>
      <c r="T227" s="135">
        <f t="shared" si="34"/>
        <v>21000</v>
      </c>
      <c r="U227" s="43"/>
    </row>
    <row r="228" spans="1:21" ht="31.5" customHeight="1">
      <c r="A228" s="161" t="s">
        <v>471</v>
      </c>
      <c r="B228" s="49" t="s">
        <v>470</v>
      </c>
      <c r="C228" s="9">
        <f>221000+59000-10518</f>
        <v>269482</v>
      </c>
      <c r="D228" s="9"/>
      <c r="E228" s="9"/>
      <c r="F228" s="9"/>
      <c r="G228" s="9"/>
      <c r="H228" s="205"/>
      <c r="I228" s="9"/>
      <c r="J228" s="9"/>
      <c r="K228" s="9"/>
      <c r="L228" s="9"/>
      <c r="M228" s="9"/>
      <c r="N228" s="9"/>
      <c r="O228" s="9"/>
      <c r="P228" s="9"/>
      <c r="Q228" s="9"/>
      <c r="R228" s="9">
        <v>60556</v>
      </c>
      <c r="S228" s="9"/>
      <c r="T228" s="135">
        <f t="shared" si="34"/>
        <v>330038</v>
      </c>
      <c r="U228" s="43"/>
    </row>
    <row r="229" spans="1:21" ht="15" customHeight="1">
      <c r="A229" s="136" t="s">
        <v>111</v>
      </c>
      <c r="B229" s="86" t="s">
        <v>112</v>
      </c>
      <c r="C229" s="14">
        <f>SUM(C230:C240)</f>
        <v>2414255</v>
      </c>
      <c r="D229" s="14">
        <f>SUM(D230:D240)</f>
        <v>0</v>
      </c>
      <c r="E229" s="14">
        <f>SUM(E230:E240)</f>
        <v>0</v>
      </c>
      <c r="F229" s="14"/>
      <c r="G229" s="14">
        <f aca="true" t="shared" si="35" ref="G229:S229">SUM(G230:G240)</f>
        <v>0</v>
      </c>
      <c r="H229" s="14">
        <f t="shared" si="35"/>
        <v>0</v>
      </c>
      <c r="I229" s="14">
        <f t="shared" si="35"/>
        <v>0</v>
      </c>
      <c r="J229" s="14">
        <f t="shared" si="35"/>
        <v>0</v>
      </c>
      <c r="K229" s="14">
        <f t="shared" si="35"/>
        <v>227778</v>
      </c>
      <c r="L229" s="14">
        <f t="shared" si="35"/>
        <v>0</v>
      </c>
      <c r="M229" s="14">
        <f t="shared" si="35"/>
        <v>0</v>
      </c>
      <c r="N229" s="14">
        <f t="shared" si="35"/>
        <v>0</v>
      </c>
      <c r="O229" s="14">
        <f t="shared" si="35"/>
        <v>0</v>
      </c>
      <c r="P229" s="14">
        <f t="shared" si="35"/>
        <v>175152</v>
      </c>
      <c r="Q229" s="14">
        <f t="shared" si="35"/>
        <v>844128</v>
      </c>
      <c r="R229" s="14">
        <f t="shared" si="35"/>
        <v>666995</v>
      </c>
      <c r="S229" s="14">
        <f t="shared" si="35"/>
        <v>0</v>
      </c>
      <c r="T229" s="135">
        <f t="shared" si="34"/>
        <v>4328308</v>
      </c>
      <c r="U229" s="43"/>
    </row>
    <row r="230" spans="1:21" ht="15">
      <c r="A230" s="48" t="s">
        <v>241</v>
      </c>
      <c r="B230" s="49" t="s">
        <v>9</v>
      </c>
      <c r="C230" s="9">
        <f>701850+28871+5700+1198+27740+4034</f>
        <v>769393</v>
      </c>
      <c r="D230" s="1"/>
      <c r="E230" s="1"/>
      <c r="F230" s="9"/>
      <c r="G230" s="9"/>
      <c r="H230" s="1"/>
      <c r="I230" s="1"/>
      <c r="J230" s="1"/>
      <c r="K230" s="1"/>
      <c r="L230" s="1"/>
      <c r="M230" s="1"/>
      <c r="N230" s="1"/>
      <c r="O230" s="9"/>
      <c r="P230" s="9"/>
      <c r="Q230" s="9"/>
      <c r="R230" s="9"/>
      <c r="S230" s="9"/>
      <c r="T230" s="135">
        <f t="shared" si="34"/>
        <v>769393</v>
      </c>
      <c r="U230" s="43"/>
    </row>
    <row r="231" spans="1:21" ht="15">
      <c r="A231" s="48" t="s">
        <v>242</v>
      </c>
      <c r="B231" s="49" t="s">
        <v>120</v>
      </c>
      <c r="C231" s="9">
        <f>311374+2973+10658+2358</f>
        <v>327363</v>
      </c>
      <c r="D231" s="1"/>
      <c r="E231" s="1"/>
      <c r="F231" s="9"/>
      <c r="G231" s="9"/>
      <c r="H231" s="1"/>
      <c r="I231" s="1"/>
      <c r="J231" s="1"/>
      <c r="K231" s="1"/>
      <c r="L231" s="1"/>
      <c r="M231" s="1"/>
      <c r="N231" s="1"/>
      <c r="O231" s="9"/>
      <c r="P231" s="9"/>
      <c r="Q231" s="9"/>
      <c r="R231" s="9"/>
      <c r="S231" s="9"/>
      <c r="T231" s="135">
        <f t="shared" si="34"/>
        <v>327363</v>
      </c>
      <c r="U231" s="43"/>
    </row>
    <row r="232" spans="1:21" ht="15">
      <c r="A232" s="48" t="s">
        <v>243</v>
      </c>
      <c r="B232" s="49" t="s">
        <v>147</v>
      </c>
      <c r="C232" s="1"/>
      <c r="D232" s="1"/>
      <c r="E232" s="1"/>
      <c r="F232" s="9"/>
      <c r="G232" s="9"/>
      <c r="H232" s="1"/>
      <c r="I232" s="1"/>
      <c r="J232" s="1"/>
      <c r="K232" s="1">
        <f>225826+805+1147</f>
        <v>227778</v>
      </c>
      <c r="L232" s="1"/>
      <c r="M232" s="1"/>
      <c r="N232" s="1"/>
      <c r="O232" s="9"/>
      <c r="P232" s="9"/>
      <c r="Q232" s="9"/>
      <c r="R232" s="9"/>
      <c r="S232" s="9"/>
      <c r="T232" s="135">
        <f t="shared" si="34"/>
        <v>227778</v>
      </c>
      <c r="U232" s="43"/>
    </row>
    <row r="233" spans="1:21" ht="15">
      <c r="A233" s="48" t="s">
        <v>431</v>
      </c>
      <c r="B233" s="49" t="s">
        <v>432</v>
      </c>
      <c r="C233" s="1">
        <f>1279372+17778+1950+9360+9039</f>
        <v>1317499</v>
      </c>
      <c r="D233" s="1"/>
      <c r="E233" s="1"/>
      <c r="F233" s="9"/>
      <c r="G233" s="9"/>
      <c r="H233" s="1"/>
      <c r="I233" s="1"/>
      <c r="J233" s="1"/>
      <c r="K233" s="1"/>
      <c r="L233" s="1"/>
      <c r="M233" s="1"/>
      <c r="N233" s="1"/>
      <c r="O233" s="9"/>
      <c r="P233" s="9"/>
      <c r="Q233" s="9"/>
      <c r="R233" s="9"/>
      <c r="S233" s="9"/>
      <c r="T233" s="135">
        <f t="shared" si="34"/>
        <v>1317499</v>
      </c>
      <c r="U233" s="43"/>
    </row>
    <row r="234" spans="1:21" ht="15">
      <c r="A234" s="206" t="s">
        <v>111</v>
      </c>
      <c r="B234" s="49" t="s">
        <v>562</v>
      </c>
      <c r="C234" s="1"/>
      <c r="D234" s="1"/>
      <c r="E234" s="1"/>
      <c r="F234" s="9"/>
      <c r="G234" s="9"/>
      <c r="H234" s="1"/>
      <c r="I234" s="1"/>
      <c r="J234" s="1"/>
      <c r="K234" s="1"/>
      <c r="L234" s="1"/>
      <c r="M234" s="1"/>
      <c r="N234" s="1"/>
      <c r="O234" s="9"/>
      <c r="P234" s="9">
        <f>173868+1284</f>
        <v>175152</v>
      </c>
      <c r="Q234" s="9"/>
      <c r="R234" s="9"/>
      <c r="S234" s="9"/>
      <c r="T234" s="135">
        <f t="shared" si="34"/>
        <v>175152</v>
      </c>
      <c r="U234" s="43"/>
    </row>
    <row r="235" spans="1:21" ht="15">
      <c r="A235" s="206" t="s">
        <v>111</v>
      </c>
      <c r="B235" s="49" t="s">
        <v>595</v>
      </c>
      <c r="C235" s="1"/>
      <c r="D235" s="1"/>
      <c r="E235" s="1"/>
      <c r="F235" s="9"/>
      <c r="G235" s="9"/>
      <c r="H235" s="1"/>
      <c r="I235" s="1"/>
      <c r="J235" s="1"/>
      <c r="K235" s="1"/>
      <c r="L235" s="1"/>
      <c r="M235" s="1"/>
      <c r="N235" s="1"/>
      <c r="O235" s="9"/>
      <c r="P235" s="9"/>
      <c r="Q235" s="9">
        <f>359765+7527</f>
        <v>367292</v>
      </c>
      <c r="R235" s="9"/>
      <c r="S235" s="9"/>
      <c r="T235" s="135">
        <f t="shared" si="34"/>
        <v>367292</v>
      </c>
      <c r="U235" s="43"/>
    </row>
    <row r="236" spans="1:21" ht="15">
      <c r="A236" s="206" t="s">
        <v>111</v>
      </c>
      <c r="B236" s="49" t="s">
        <v>596</v>
      </c>
      <c r="C236" s="1"/>
      <c r="D236" s="1"/>
      <c r="E236" s="1"/>
      <c r="F236" s="9"/>
      <c r="G236" s="9"/>
      <c r="H236" s="1"/>
      <c r="I236" s="1"/>
      <c r="J236" s="1"/>
      <c r="K236" s="1"/>
      <c r="L236" s="1"/>
      <c r="M236" s="1"/>
      <c r="N236" s="1"/>
      <c r="O236" s="9"/>
      <c r="P236" s="9"/>
      <c r="Q236" s="9">
        <f>453242+5737+3109</f>
        <v>462088</v>
      </c>
      <c r="R236" s="9"/>
      <c r="S236" s="9"/>
      <c r="T236" s="135">
        <f t="shared" si="34"/>
        <v>462088</v>
      </c>
      <c r="U236" s="43"/>
    </row>
    <row r="237" spans="1:21" ht="45">
      <c r="A237" s="206" t="s">
        <v>111</v>
      </c>
      <c r="B237" s="204" t="s">
        <v>597</v>
      </c>
      <c r="C237" s="1"/>
      <c r="D237" s="1"/>
      <c r="E237" s="1"/>
      <c r="F237" s="9"/>
      <c r="G237" s="9"/>
      <c r="H237" s="1"/>
      <c r="I237" s="1"/>
      <c r="J237" s="1"/>
      <c r="K237" s="1"/>
      <c r="L237" s="1"/>
      <c r="M237" s="1"/>
      <c r="N237" s="1"/>
      <c r="O237" s="9"/>
      <c r="P237" s="9"/>
      <c r="Q237" s="9">
        <v>14748</v>
      </c>
      <c r="R237" s="9"/>
      <c r="S237" s="9"/>
      <c r="T237" s="135">
        <f t="shared" si="34"/>
        <v>14748</v>
      </c>
      <c r="U237" s="43"/>
    </row>
    <row r="238" spans="1:21" ht="15">
      <c r="A238" s="206" t="s">
        <v>111</v>
      </c>
      <c r="B238" s="49" t="s">
        <v>629</v>
      </c>
      <c r="C238" s="1"/>
      <c r="D238" s="1"/>
      <c r="E238" s="1"/>
      <c r="F238" s="9"/>
      <c r="G238" s="9"/>
      <c r="H238" s="1"/>
      <c r="I238" s="1"/>
      <c r="J238" s="1"/>
      <c r="K238" s="1"/>
      <c r="L238" s="1"/>
      <c r="M238" s="1"/>
      <c r="N238" s="1"/>
      <c r="O238" s="9"/>
      <c r="P238" s="9"/>
      <c r="Q238" s="9"/>
      <c r="R238" s="9">
        <f>179341+689</f>
        <v>180030</v>
      </c>
      <c r="S238" s="9"/>
      <c r="T238" s="135">
        <f t="shared" si="34"/>
        <v>180030</v>
      </c>
      <c r="U238" s="43"/>
    </row>
    <row r="239" spans="1:21" ht="15">
      <c r="A239" s="206" t="s">
        <v>111</v>
      </c>
      <c r="B239" s="49" t="s">
        <v>630</v>
      </c>
      <c r="C239" s="1"/>
      <c r="D239" s="1"/>
      <c r="E239" s="1"/>
      <c r="F239" s="9"/>
      <c r="G239" s="9"/>
      <c r="H239" s="1"/>
      <c r="I239" s="1"/>
      <c r="J239" s="1"/>
      <c r="K239" s="1"/>
      <c r="L239" s="1"/>
      <c r="M239" s="1"/>
      <c r="N239" s="1"/>
      <c r="O239" s="9"/>
      <c r="P239" s="9"/>
      <c r="Q239" s="9"/>
      <c r="R239" s="9">
        <f>475495+2670</f>
        <v>478165</v>
      </c>
      <c r="S239" s="9"/>
      <c r="T239" s="135">
        <f t="shared" si="34"/>
        <v>478165</v>
      </c>
      <c r="U239" s="43"/>
    </row>
    <row r="240" spans="1:21" ht="30">
      <c r="A240" s="206" t="s">
        <v>111</v>
      </c>
      <c r="B240" s="49" t="s">
        <v>631</v>
      </c>
      <c r="C240" s="1"/>
      <c r="D240" s="1"/>
      <c r="E240" s="1"/>
      <c r="F240" s="9"/>
      <c r="G240" s="9"/>
      <c r="H240" s="1"/>
      <c r="I240" s="1"/>
      <c r="J240" s="1"/>
      <c r="K240" s="1"/>
      <c r="L240" s="1"/>
      <c r="M240" s="1"/>
      <c r="N240" s="1"/>
      <c r="O240" s="9"/>
      <c r="P240" s="9"/>
      <c r="Q240" s="9"/>
      <c r="R240" s="9">
        <v>8800</v>
      </c>
      <c r="S240" s="9"/>
      <c r="T240" s="135">
        <f t="shared" si="34"/>
        <v>8800</v>
      </c>
      <c r="U240" s="43"/>
    </row>
    <row r="241" spans="1:21" ht="15">
      <c r="A241" s="151" t="s">
        <v>148</v>
      </c>
      <c r="B241" s="86" t="s">
        <v>149</v>
      </c>
      <c r="C241" s="87">
        <f>SUM(C242:C244)</f>
        <v>437232</v>
      </c>
      <c r="D241" s="1">
        <f aca="true" t="shared" si="36" ref="D241:N241">SUM(D242:D244)</f>
        <v>0</v>
      </c>
      <c r="E241" s="1">
        <f t="shared" si="36"/>
        <v>0</v>
      </c>
      <c r="F241" s="1"/>
      <c r="G241" s="1">
        <f t="shared" si="36"/>
        <v>0</v>
      </c>
      <c r="H241" s="1">
        <f t="shared" si="36"/>
        <v>117949</v>
      </c>
      <c r="I241" s="1">
        <f t="shared" si="36"/>
        <v>0</v>
      </c>
      <c r="J241" s="1">
        <f t="shared" si="36"/>
        <v>0</v>
      </c>
      <c r="K241" s="1">
        <f t="shared" si="36"/>
        <v>96467</v>
      </c>
      <c r="L241" s="1">
        <f t="shared" si="36"/>
        <v>0</v>
      </c>
      <c r="M241" s="1">
        <f t="shared" si="36"/>
        <v>0</v>
      </c>
      <c r="N241" s="1">
        <f t="shared" si="36"/>
        <v>0</v>
      </c>
      <c r="O241" s="1">
        <f>SUM(O242:O244)</f>
        <v>0</v>
      </c>
      <c r="P241" s="1">
        <f>SUM(P242:P247)</f>
        <v>189670</v>
      </c>
      <c r="Q241" s="1">
        <f>SUM(Q242:Q247)</f>
        <v>215836</v>
      </c>
      <c r="R241" s="9">
        <f>SUM(R242:R244)</f>
        <v>0</v>
      </c>
      <c r="S241" s="9">
        <f>SUM(S242:S244)</f>
        <v>0</v>
      </c>
      <c r="T241" s="135">
        <f t="shared" si="34"/>
        <v>1057154</v>
      </c>
      <c r="U241" s="43"/>
    </row>
    <row r="242" spans="1:21" ht="15">
      <c r="A242" s="48" t="s">
        <v>322</v>
      </c>
      <c r="B242" s="49" t="s">
        <v>318</v>
      </c>
      <c r="C242" s="9">
        <f>50000+40000</f>
        <v>90000</v>
      </c>
      <c r="D242" s="9"/>
      <c r="E242" s="9"/>
      <c r="F242" s="9"/>
      <c r="G242" s="9"/>
      <c r="H242" s="1">
        <v>117949</v>
      </c>
      <c r="I242" s="1"/>
      <c r="J242" s="1"/>
      <c r="K242" s="9">
        <v>90548</v>
      </c>
      <c r="L242" s="9"/>
      <c r="M242" s="9"/>
      <c r="N242" s="9"/>
      <c r="O242" s="9"/>
      <c r="P242" s="9"/>
      <c r="Q242" s="9">
        <v>135000</v>
      </c>
      <c r="R242" s="9"/>
      <c r="S242" s="9"/>
      <c r="T242" s="135">
        <f t="shared" si="34"/>
        <v>433497</v>
      </c>
      <c r="U242" s="43"/>
    </row>
    <row r="243" spans="1:21" ht="15">
      <c r="A243" s="161" t="s">
        <v>427</v>
      </c>
      <c r="B243" s="49" t="s">
        <v>428</v>
      </c>
      <c r="C243" s="9">
        <v>302232</v>
      </c>
      <c r="D243" s="9"/>
      <c r="E243" s="9"/>
      <c r="F243" s="9"/>
      <c r="G243" s="9"/>
      <c r="H243" s="1"/>
      <c r="I243" s="1"/>
      <c r="J243" s="1"/>
      <c r="K243" s="9"/>
      <c r="L243" s="9"/>
      <c r="M243" s="9"/>
      <c r="N243" s="9"/>
      <c r="O243" s="9"/>
      <c r="P243" s="9"/>
      <c r="Q243" s="9"/>
      <c r="R243" s="9"/>
      <c r="S243" s="9"/>
      <c r="T243" s="135">
        <f t="shared" si="34"/>
        <v>302232</v>
      </c>
      <c r="U243" s="43"/>
    </row>
    <row r="244" spans="1:21" ht="15">
      <c r="A244" s="48" t="s">
        <v>323</v>
      </c>
      <c r="B244" s="49" t="s">
        <v>319</v>
      </c>
      <c r="C244" s="9">
        <f>85000-40000</f>
        <v>45000</v>
      </c>
      <c r="D244" s="9"/>
      <c r="E244" s="9"/>
      <c r="F244" s="9"/>
      <c r="G244" s="9"/>
      <c r="H244" s="1"/>
      <c r="I244" s="1"/>
      <c r="J244" s="1"/>
      <c r="K244" s="9">
        <v>5919</v>
      </c>
      <c r="L244" s="9"/>
      <c r="M244" s="9"/>
      <c r="N244" s="9"/>
      <c r="O244" s="9"/>
      <c r="P244" s="9"/>
      <c r="Q244" s="9">
        <v>58418</v>
      </c>
      <c r="R244" s="9"/>
      <c r="S244" s="9"/>
      <c r="T244" s="135">
        <f t="shared" si="34"/>
        <v>109337</v>
      </c>
      <c r="U244" s="43"/>
    </row>
    <row r="245" spans="1:21" ht="15">
      <c r="A245" s="161" t="s">
        <v>148</v>
      </c>
      <c r="B245" s="49" t="s">
        <v>149</v>
      </c>
      <c r="C245" s="9"/>
      <c r="D245" s="9"/>
      <c r="E245" s="9"/>
      <c r="F245" s="9"/>
      <c r="G245" s="9"/>
      <c r="H245" s="1"/>
      <c r="I245" s="1"/>
      <c r="J245" s="1"/>
      <c r="K245" s="9"/>
      <c r="L245" s="9"/>
      <c r="M245" s="9"/>
      <c r="N245" s="9"/>
      <c r="O245" s="9"/>
      <c r="P245" s="9">
        <f>275817-86147</f>
        <v>189670</v>
      </c>
      <c r="Q245" s="9"/>
      <c r="R245" s="9"/>
      <c r="S245" s="9"/>
      <c r="T245" s="135">
        <f t="shared" si="34"/>
        <v>189670</v>
      </c>
      <c r="U245" s="43"/>
    </row>
    <row r="246" spans="1:21" ht="15">
      <c r="A246" s="161" t="s">
        <v>148</v>
      </c>
      <c r="B246" s="49" t="s">
        <v>598</v>
      </c>
      <c r="C246" s="9"/>
      <c r="D246" s="9"/>
      <c r="E246" s="9"/>
      <c r="F246" s="9"/>
      <c r="G246" s="9"/>
      <c r="H246" s="1"/>
      <c r="I246" s="1"/>
      <c r="J246" s="1"/>
      <c r="K246" s="9"/>
      <c r="L246" s="9"/>
      <c r="M246" s="9"/>
      <c r="N246" s="9"/>
      <c r="O246" s="9"/>
      <c r="P246" s="9"/>
      <c r="Q246" s="9">
        <v>20418</v>
      </c>
      <c r="R246" s="9"/>
      <c r="S246" s="9"/>
      <c r="T246" s="135">
        <f t="shared" si="34"/>
        <v>20418</v>
      </c>
      <c r="U246" s="43"/>
    </row>
    <row r="247" spans="1:21" ht="30">
      <c r="A247" s="161" t="s">
        <v>148</v>
      </c>
      <c r="B247" s="49" t="s">
        <v>599</v>
      </c>
      <c r="C247" s="9"/>
      <c r="D247" s="9"/>
      <c r="E247" s="9"/>
      <c r="F247" s="9"/>
      <c r="G247" s="9"/>
      <c r="H247" s="1"/>
      <c r="I247" s="1"/>
      <c r="J247" s="1"/>
      <c r="K247" s="9"/>
      <c r="L247" s="9"/>
      <c r="M247" s="9"/>
      <c r="N247" s="9"/>
      <c r="O247" s="9"/>
      <c r="P247" s="9"/>
      <c r="Q247" s="9">
        <v>2000</v>
      </c>
      <c r="R247" s="9"/>
      <c r="S247" s="9"/>
      <c r="T247" s="135">
        <f t="shared" si="34"/>
        <v>2000</v>
      </c>
      <c r="U247" s="43"/>
    </row>
    <row r="248" spans="1:21" ht="21.75" customHeight="1">
      <c r="A248" s="136" t="s">
        <v>420</v>
      </c>
      <c r="B248" s="86" t="s">
        <v>421</v>
      </c>
      <c r="C248" s="14">
        <f>283758-5450+134886+5000</f>
        <v>418194</v>
      </c>
      <c r="D248" s="14"/>
      <c r="E248" s="14"/>
      <c r="F248" s="14"/>
      <c r="G248" s="14"/>
      <c r="H248" s="87"/>
      <c r="I248" s="87"/>
      <c r="J248" s="87"/>
      <c r="K248" s="14"/>
      <c r="L248" s="14"/>
      <c r="M248" s="14"/>
      <c r="N248" s="14"/>
      <c r="O248" s="14"/>
      <c r="P248" s="14"/>
      <c r="Q248" s="14"/>
      <c r="R248" s="14">
        <v>122891</v>
      </c>
      <c r="S248" s="14"/>
      <c r="T248" s="135">
        <f t="shared" si="34"/>
        <v>541085</v>
      </c>
      <c r="U248" s="43"/>
    </row>
    <row r="249" spans="1:21" ht="30">
      <c r="A249" s="161" t="s">
        <v>420</v>
      </c>
      <c r="B249" s="49" t="s">
        <v>632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87">
        <f>375000-105000</f>
        <v>270000</v>
      </c>
      <c r="S249" s="207"/>
      <c r="T249" s="135">
        <f t="shared" si="34"/>
        <v>270000</v>
      </c>
      <c r="U249" s="43"/>
    </row>
    <row r="250" spans="1:21" ht="30.75" customHeight="1" thickBot="1">
      <c r="A250" s="208" t="s">
        <v>113</v>
      </c>
      <c r="B250" s="209" t="s">
        <v>244</v>
      </c>
      <c r="C250" s="210">
        <f>SUM(C251:C294)</f>
        <v>13168115</v>
      </c>
      <c r="D250" s="210">
        <f>SUM(D251:D294)</f>
        <v>0</v>
      </c>
      <c r="E250" s="210">
        <f>SUM(E251:E294)</f>
        <v>0</v>
      </c>
      <c r="F250" s="210"/>
      <c r="G250" s="210">
        <f aca="true" t="shared" si="37" ref="G250:R250">SUM(G251:G294)</f>
        <v>0</v>
      </c>
      <c r="H250" s="210">
        <f t="shared" si="37"/>
        <v>28147</v>
      </c>
      <c r="I250" s="210">
        <f t="shared" si="37"/>
        <v>0</v>
      </c>
      <c r="J250" s="210">
        <f t="shared" si="37"/>
        <v>21331</v>
      </c>
      <c r="K250" s="210">
        <f t="shared" si="37"/>
        <v>26183</v>
      </c>
      <c r="L250" s="210">
        <f t="shared" si="37"/>
        <v>42567</v>
      </c>
      <c r="M250" s="210">
        <f t="shared" si="37"/>
        <v>21850</v>
      </c>
      <c r="N250" s="210">
        <f t="shared" si="37"/>
        <v>16093</v>
      </c>
      <c r="O250" s="210">
        <f t="shared" si="37"/>
        <v>18345</v>
      </c>
      <c r="P250" s="210">
        <f t="shared" si="37"/>
        <v>93984</v>
      </c>
      <c r="Q250" s="210">
        <f t="shared" si="37"/>
        <v>331279</v>
      </c>
      <c r="R250" s="210">
        <f t="shared" si="37"/>
        <v>153946</v>
      </c>
      <c r="S250" s="210">
        <f>SUM(S251:S279)</f>
        <v>0</v>
      </c>
      <c r="T250" s="175">
        <f t="shared" si="34"/>
        <v>13921840</v>
      </c>
      <c r="U250" s="43"/>
    </row>
    <row r="251" spans="1:21" ht="30.75" customHeight="1">
      <c r="A251" s="155" t="s">
        <v>320</v>
      </c>
      <c r="B251" s="17" t="s">
        <v>321</v>
      </c>
      <c r="C251" s="12">
        <f>41843+21178</f>
        <v>63021</v>
      </c>
      <c r="D251" s="154"/>
      <c r="E251" s="154"/>
      <c r="F251" s="154"/>
      <c r="G251" s="154"/>
      <c r="H251" s="197"/>
      <c r="I251" s="197"/>
      <c r="J251" s="197"/>
      <c r="K251" s="154"/>
      <c r="L251" s="154"/>
      <c r="M251" s="154"/>
      <c r="N251" s="154"/>
      <c r="O251" s="69"/>
      <c r="P251" s="211"/>
      <c r="Q251" s="212">
        <v>27283</v>
      </c>
      <c r="R251" s="213">
        <v>13365</v>
      </c>
      <c r="S251" s="129"/>
      <c r="T251" s="47">
        <f t="shared" si="34"/>
        <v>103669</v>
      </c>
      <c r="U251" s="43"/>
    </row>
    <row r="252" spans="1:21" ht="30.75" customHeight="1">
      <c r="A252" s="214" t="s">
        <v>343</v>
      </c>
      <c r="B252" s="160" t="s">
        <v>344</v>
      </c>
      <c r="C252" s="1">
        <f>119646+135640+72229</f>
        <v>327515</v>
      </c>
      <c r="D252" s="87"/>
      <c r="E252" s="87"/>
      <c r="F252" s="87"/>
      <c r="G252" s="87"/>
      <c r="H252" s="87"/>
      <c r="I252" s="87"/>
      <c r="J252" s="87"/>
      <c r="K252" s="87">
        <v>577</v>
      </c>
      <c r="L252" s="87"/>
      <c r="M252" s="87"/>
      <c r="N252" s="87"/>
      <c r="O252" s="14"/>
      <c r="P252" s="1">
        <v>85199</v>
      </c>
      <c r="Q252" s="9">
        <f>34881+20798</f>
        <v>55679</v>
      </c>
      <c r="R252" s="14"/>
      <c r="S252" s="14"/>
      <c r="T252" s="135">
        <f t="shared" si="34"/>
        <v>468970</v>
      </c>
      <c r="U252" s="43"/>
    </row>
    <row r="253" spans="1:21" ht="15.75">
      <c r="A253" s="214" t="s">
        <v>372</v>
      </c>
      <c r="B253" s="215" t="s">
        <v>373</v>
      </c>
      <c r="C253" s="1">
        <v>55692</v>
      </c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14"/>
      <c r="P253" s="87"/>
      <c r="Q253" s="14"/>
      <c r="R253" s="9">
        <v>9046</v>
      </c>
      <c r="S253" s="14"/>
      <c r="T253" s="135">
        <f t="shared" si="34"/>
        <v>64738</v>
      </c>
      <c r="U253" s="43"/>
    </row>
    <row r="254" spans="1:21" ht="30.75" customHeight="1">
      <c r="A254" s="214" t="s">
        <v>374</v>
      </c>
      <c r="B254" s="215" t="s">
        <v>375</v>
      </c>
      <c r="C254" s="1">
        <f>11490-7567</f>
        <v>3923</v>
      </c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14"/>
      <c r="P254" s="87"/>
      <c r="Q254" s="14"/>
      <c r="R254" s="14"/>
      <c r="S254" s="14"/>
      <c r="T254" s="135">
        <f t="shared" si="34"/>
        <v>3923</v>
      </c>
      <c r="U254" s="43"/>
    </row>
    <row r="255" spans="1:21" ht="30.75" customHeight="1">
      <c r="A255" s="214" t="s">
        <v>376</v>
      </c>
      <c r="B255" s="216" t="s">
        <v>377</v>
      </c>
      <c r="C255" s="1">
        <v>7892</v>
      </c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14"/>
      <c r="P255" s="87"/>
      <c r="Q255" s="14"/>
      <c r="R255" s="14"/>
      <c r="S255" s="14"/>
      <c r="T255" s="135">
        <f t="shared" si="34"/>
        <v>7892</v>
      </c>
      <c r="U255" s="43"/>
    </row>
    <row r="256" spans="1:21" ht="15">
      <c r="A256" s="155" t="s">
        <v>245</v>
      </c>
      <c r="B256" s="17" t="s">
        <v>422</v>
      </c>
      <c r="C256" s="9"/>
      <c r="D256" s="1"/>
      <c r="E256" s="1"/>
      <c r="F256" s="9"/>
      <c r="G256" s="9"/>
      <c r="H256" s="1">
        <v>28147</v>
      </c>
      <c r="I256" s="1"/>
      <c r="J256" s="1">
        <v>21331</v>
      </c>
      <c r="K256" s="1"/>
      <c r="L256" s="1">
        <f>43934-1367</f>
        <v>42567</v>
      </c>
      <c r="M256" s="1">
        <f>19935+1915</f>
        <v>21850</v>
      </c>
      <c r="N256" s="1"/>
      <c r="O256" s="9"/>
      <c r="P256" s="9"/>
      <c r="Q256" s="9"/>
      <c r="R256" s="9"/>
      <c r="S256" s="9"/>
      <c r="T256" s="135">
        <f t="shared" si="34"/>
        <v>113895</v>
      </c>
      <c r="U256" s="43"/>
    </row>
    <row r="257" spans="1:21" ht="15">
      <c r="A257" s="155" t="s">
        <v>246</v>
      </c>
      <c r="B257" s="217" t="s">
        <v>290</v>
      </c>
      <c r="C257" s="12"/>
      <c r="D257" s="1"/>
      <c r="E257" s="1"/>
      <c r="F257" s="9"/>
      <c r="G257" s="9"/>
      <c r="H257" s="1"/>
      <c r="I257" s="1"/>
      <c r="J257" s="1"/>
      <c r="K257" s="1">
        <v>12126</v>
      </c>
      <c r="L257" s="1"/>
      <c r="M257" s="1"/>
      <c r="N257" s="1">
        <v>16093</v>
      </c>
      <c r="O257" s="52">
        <v>18345</v>
      </c>
      <c r="P257" s="1"/>
      <c r="Q257" s="1"/>
      <c r="R257" s="52"/>
      <c r="S257" s="9"/>
      <c r="T257" s="135">
        <f t="shared" si="34"/>
        <v>46564</v>
      </c>
      <c r="U257" s="43"/>
    </row>
    <row r="258" spans="1:21" ht="47.25">
      <c r="A258" s="214" t="s">
        <v>378</v>
      </c>
      <c r="B258" s="218" t="s">
        <v>379</v>
      </c>
      <c r="C258" s="9">
        <v>11709</v>
      </c>
      <c r="D258" s="1"/>
      <c r="E258" s="1"/>
      <c r="F258" s="9"/>
      <c r="G258" s="9"/>
      <c r="H258" s="1"/>
      <c r="I258" s="1"/>
      <c r="J258" s="1"/>
      <c r="K258" s="1"/>
      <c r="L258" s="1"/>
      <c r="M258" s="1"/>
      <c r="N258" s="1"/>
      <c r="O258" s="9"/>
      <c r="P258" s="9"/>
      <c r="Q258" s="9"/>
      <c r="R258" s="9"/>
      <c r="S258" s="9"/>
      <c r="T258" s="135">
        <f t="shared" si="34"/>
        <v>11709</v>
      </c>
      <c r="U258" s="43"/>
    </row>
    <row r="259" spans="1:21" ht="47.25">
      <c r="A259" s="214" t="s">
        <v>380</v>
      </c>
      <c r="B259" s="215" t="s">
        <v>381</v>
      </c>
      <c r="C259" s="9">
        <v>8234</v>
      </c>
      <c r="D259" s="1"/>
      <c r="E259" s="1"/>
      <c r="F259" s="9"/>
      <c r="G259" s="9"/>
      <c r="H259" s="1"/>
      <c r="I259" s="1"/>
      <c r="J259" s="1"/>
      <c r="K259" s="1"/>
      <c r="L259" s="1"/>
      <c r="M259" s="1"/>
      <c r="N259" s="1"/>
      <c r="O259" s="9"/>
      <c r="P259" s="9"/>
      <c r="Q259" s="9"/>
      <c r="R259" s="9"/>
      <c r="S259" s="9"/>
      <c r="T259" s="135">
        <f t="shared" si="34"/>
        <v>8234</v>
      </c>
      <c r="U259" s="43"/>
    </row>
    <row r="260" spans="1:21" ht="60">
      <c r="A260" s="214" t="s">
        <v>388</v>
      </c>
      <c r="B260" s="160" t="s">
        <v>387</v>
      </c>
      <c r="C260" s="9">
        <v>5538</v>
      </c>
      <c r="D260" s="1"/>
      <c r="E260" s="1"/>
      <c r="F260" s="9"/>
      <c r="G260" s="9"/>
      <c r="H260" s="1"/>
      <c r="I260" s="1"/>
      <c r="J260" s="1"/>
      <c r="K260" s="1"/>
      <c r="L260" s="1"/>
      <c r="M260" s="1"/>
      <c r="N260" s="1"/>
      <c r="O260" s="9"/>
      <c r="P260" s="9"/>
      <c r="Q260" s="9"/>
      <c r="R260" s="9"/>
      <c r="S260" s="9"/>
      <c r="T260" s="135">
        <f t="shared" si="34"/>
        <v>5538</v>
      </c>
      <c r="U260" s="43"/>
    </row>
    <row r="261" spans="1:21" ht="30">
      <c r="A261" s="48" t="s">
        <v>279</v>
      </c>
      <c r="B261" s="160" t="s">
        <v>423</v>
      </c>
      <c r="C261" s="9">
        <v>11628587</v>
      </c>
      <c r="D261" s="1"/>
      <c r="E261" s="1"/>
      <c r="F261" s="9"/>
      <c r="G261" s="9"/>
      <c r="H261" s="1"/>
      <c r="I261" s="1"/>
      <c r="J261" s="1"/>
      <c r="K261" s="1"/>
      <c r="L261" s="1"/>
      <c r="M261" s="1"/>
      <c r="N261" s="1"/>
      <c r="O261" s="9"/>
      <c r="P261" s="9"/>
      <c r="Q261" s="9"/>
      <c r="R261" s="9"/>
      <c r="S261" s="9"/>
      <c r="T261" s="135">
        <f t="shared" si="34"/>
        <v>11628587</v>
      </c>
      <c r="U261" s="43"/>
    </row>
    <row r="262" spans="1:21" ht="28.5" customHeight="1">
      <c r="A262" s="155" t="s">
        <v>284</v>
      </c>
      <c r="B262" s="219" t="s">
        <v>382</v>
      </c>
      <c r="C262" s="9">
        <v>5249</v>
      </c>
      <c r="D262" s="1"/>
      <c r="E262" s="1"/>
      <c r="F262" s="9"/>
      <c r="G262" s="9"/>
      <c r="H262" s="1"/>
      <c r="I262" s="1"/>
      <c r="J262" s="1"/>
      <c r="K262" s="1"/>
      <c r="L262" s="1"/>
      <c r="M262" s="1"/>
      <c r="N262" s="1"/>
      <c r="O262" s="9"/>
      <c r="P262" s="9"/>
      <c r="Q262" s="9"/>
      <c r="R262" s="9"/>
      <c r="S262" s="9"/>
      <c r="T262" s="135">
        <f t="shared" si="34"/>
        <v>5249</v>
      </c>
      <c r="U262" s="43"/>
    </row>
    <row r="263" spans="1:21" ht="30">
      <c r="A263" s="18" t="s">
        <v>327</v>
      </c>
      <c r="B263" s="204" t="s">
        <v>326</v>
      </c>
      <c r="C263" s="9">
        <f>77720+49436</f>
        <v>127156</v>
      </c>
      <c r="D263" s="9"/>
      <c r="E263" s="9"/>
      <c r="F263" s="9"/>
      <c r="G263" s="9"/>
      <c r="H263" s="1"/>
      <c r="I263" s="6"/>
      <c r="J263" s="6"/>
      <c r="K263" s="6"/>
      <c r="L263" s="6"/>
      <c r="M263" s="6"/>
      <c r="N263" s="6"/>
      <c r="O263" s="62"/>
      <c r="P263" s="62">
        <v>8785</v>
      </c>
      <c r="Q263" s="62"/>
      <c r="R263" s="62"/>
      <c r="S263" s="9"/>
      <c r="T263" s="135">
        <f t="shared" si="34"/>
        <v>135941</v>
      </c>
      <c r="U263" s="43"/>
    </row>
    <row r="264" spans="1:21" ht="45" customHeight="1">
      <c r="A264" s="220" t="s">
        <v>346</v>
      </c>
      <c r="B264" s="160" t="s">
        <v>347</v>
      </c>
      <c r="C264" s="1">
        <v>3656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  <c r="P264" s="9"/>
      <c r="Q264" s="9"/>
      <c r="R264" s="9"/>
      <c r="S264" s="9"/>
      <c r="T264" s="135">
        <f t="shared" si="34"/>
        <v>3656</v>
      </c>
      <c r="U264" s="43"/>
    </row>
    <row r="265" spans="1:21" ht="47.25" customHeight="1">
      <c r="A265" s="220" t="s">
        <v>383</v>
      </c>
      <c r="B265" s="215" t="s">
        <v>384</v>
      </c>
      <c r="C265" s="9">
        <v>4538</v>
      </c>
      <c r="D265" s="9"/>
      <c r="E265" s="9"/>
      <c r="F265" s="9"/>
      <c r="G265" s="9"/>
      <c r="H265" s="1"/>
      <c r="I265" s="9"/>
      <c r="J265" s="9"/>
      <c r="K265" s="9"/>
      <c r="L265" s="9"/>
      <c r="M265" s="9"/>
      <c r="N265" s="9"/>
      <c r="O265" s="9"/>
      <c r="P265" s="1"/>
      <c r="Q265" s="9"/>
      <c r="R265" s="9"/>
      <c r="S265" s="9"/>
      <c r="T265" s="135">
        <f t="shared" si="34"/>
        <v>4538</v>
      </c>
      <c r="U265" s="43"/>
    </row>
    <row r="266" spans="1:21" ht="47.25" customHeight="1">
      <c r="A266" s="220" t="s">
        <v>435</v>
      </c>
      <c r="B266" s="221" t="s">
        <v>434</v>
      </c>
      <c r="C266" s="1">
        <v>4281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2"/>
      <c r="P266" s="75"/>
      <c r="Q266" s="12"/>
      <c r="R266" s="12"/>
      <c r="S266" s="9"/>
      <c r="T266" s="135">
        <f t="shared" si="34"/>
        <v>4281</v>
      </c>
      <c r="U266" s="43"/>
    </row>
    <row r="267" spans="1:21" ht="47.25" customHeight="1">
      <c r="A267" s="220" t="s">
        <v>437</v>
      </c>
      <c r="B267" s="222" t="s">
        <v>436</v>
      </c>
      <c r="C267" s="1">
        <v>11155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9"/>
      <c r="P267" s="1"/>
      <c r="Q267" s="9"/>
      <c r="R267" s="9"/>
      <c r="S267" s="9"/>
      <c r="T267" s="135">
        <f t="shared" si="34"/>
        <v>11155</v>
      </c>
      <c r="U267" s="43"/>
    </row>
    <row r="268" spans="1:21" ht="47.25" customHeight="1">
      <c r="A268" s="220" t="s">
        <v>439</v>
      </c>
      <c r="B268" s="222" t="s">
        <v>438</v>
      </c>
      <c r="C268" s="1">
        <v>21664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"/>
      <c r="P268" s="12"/>
      <c r="Q268" s="12"/>
      <c r="R268" s="12"/>
      <c r="S268" s="9"/>
      <c r="T268" s="135">
        <f t="shared" si="34"/>
        <v>21664</v>
      </c>
      <c r="U268" s="43"/>
    </row>
    <row r="269" spans="1:21" ht="47.25" customHeight="1">
      <c r="A269" s="220" t="s">
        <v>441</v>
      </c>
      <c r="B269" s="222" t="s">
        <v>440</v>
      </c>
      <c r="C269" s="1">
        <v>22954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9"/>
      <c r="P269" s="1"/>
      <c r="Q269" s="9"/>
      <c r="R269" s="9"/>
      <c r="S269" s="9"/>
      <c r="T269" s="135">
        <f t="shared" si="34"/>
        <v>22954</v>
      </c>
      <c r="U269" s="43"/>
    </row>
    <row r="270" spans="1:21" ht="45">
      <c r="A270" s="220" t="s">
        <v>445</v>
      </c>
      <c r="B270" s="222" t="s">
        <v>444</v>
      </c>
      <c r="C270" s="1">
        <v>21617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"/>
      <c r="P270" s="75"/>
      <c r="Q270" s="12"/>
      <c r="R270" s="12"/>
      <c r="S270" s="9"/>
      <c r="T270" s="135">
        <f t="shared" si="34"/>
        <v>21617</v>
      </c>
      <c r="U270" s="43"/>
    </row>
    <row r="271" spans="1:21" ht="47.25" customHeight="1">
      <c r="A271" s="220" t="s">
        <v>443</v>
      </c>
      <c r="B271" s="222" t="s">
        <v>442</v>
      </c>
      <c r="C271" s="1">
        <v>26560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9"/>
      <c r="P271" s="1"/>
      <c r="Q271" s="9"/>
      <c r="R271" s="9"/>
      <c r="S271" s="9"/>
      <c r="T271" s="135">
        <f t="shared" si="34"/>
        <v>26560</v>
      </c>
      <c r="U271" s="43"/>
    </row>
    <row r="272" spans="1:21" ht="30">
      <c r="A272" s="220" t="s">
        <v>447</v>
      </c>
      <c r="B272" s="222" t="s">
        <v>446</v>
      </c>
      <c r="C272" s="1">
        <v>16368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"/>
      <c r="P272" s="75"/>
      <c r="Q272" s="12"/>
      <c r="R272" s="12"/>
      <c r="S272" s="9"/>
      <c r="T272" s="135">
        <f t="shared" si="34"/>
        <v>16368</v>
      </c>
      <c r="U272" s="43"/>
    </row>
    <row r="273" spans="1:21" ht="47.25" customHeight="1">
      <c r="A273" s="183" t="s">
        <v>449</v>
      </c>
      <c r="B273" s="215" t="s">
        <v>448</v>
      </c>
      <c r="C273" s="1"/>
      <c r="D273" s="1"/>
      <c r="E273" s="1"/>
      <c r="F273" s="1"/>
      <c r="G273" s="1"/>
      <c r="H273" s="1"/>
      <c r="I273" s="1"/>
      <c r="J273" s="1"/>
      <c r="K273" s="1">
        <f>900+12580</f>
        <v>13480</v>
      </c>
      <c r="L273" s="1"/>
      <c r="M273" s="1"/>
      <c r="N273" s="1"/>
      <c r="O273" s="9"/>
      <c r="P273" s="1"/>
      <c r="Q273" s="9"/>
      <c r="R273" s="9"/>
      <c r="S273" s="9"/>
      <c r="T273" s="135">
        <f t="shared" si="34"/>
        <v>13480</v>
      </c>
      <c r="U273" s="43"/>
    </row>
    <row r="274" spans="1:21" ht="47.25" customHeight="1">
      <c r="A274" s="183" t="s">
        <v>473</v>
      </c>
      <c r="B274" s="223" t="s">
        <v>472</v>
      </c>
      <c r="C274" s="9">
        <v>1253</v>
      </c>
      <c r="D274" s="9"/>
      <c r="E274" s="9"/>
      <c r="F274" s="9"/>
      <c r="G274" s="9"/>
      <c r="H274" s="1"/>
      <c r="I274" s="9"/>
      <c r="J274" s="9"/>
      <c r="K274" s="9"/>
      <c r="L274" s="9"/>
      <c r="M274" s="9"/>
      <c r="N274" s="9"/>
      <c r="O274" s="9"/>
      <c r="P274" s="1"/>
      <c r="Q274" s="9"/>
      <c r="R274" s="9"/>
      <c r="S274" s="9"/>
      <c r="T274" s="135">
        <f t="shared" si="34"/>
        <v>1253</v>
      </c>
      <c r="U274" s="43"/>
    </row>
    <row r="275" spans="1:21" ht="30">
      <c r="A275" s="183" t="s">
        <v>476</v>
      </c>
      <c r="B275" s="192" t="s">
        <v>477</v>
      </c>
      <c r="C275" s="9">
        <f>465736+4020</f>
        <v>469756</v>
      </c>
      <c r="D275" s="9"/>
      <c r="E275" s="9"/>
      <c r="F275" s="9"/>
      <c r="G275" s="9"/>
      <c r="H275" s="1"/>
      <c r="I275" s="9"/>
      <c r="J275" s="9"/>
      <c r="K275" s="9"/>
      <c r="L275" s="9"/>
      <c r="M275" s="9"/>
      <c r="N275" s="9"/>
      <c r="O275" s="9"/>
      <c r="P275" s="1"/>
      <c r="Q275" s="9"/>
      <c r="R275" s="9"/>
      <c r="S275" s="9"/>
      <c r="T275" s="135">
        <f aca="true" t="shared" si="38" ref="T275:T318">SUM(C275:S275)</f>
        <v>469756</v>
      </c>
      <c r="U275" s="43"/>
    </row>
    <row r="276" spans="1:21" ht="45">
      <c r="A276" s="183" t="s">
        <v>524</v>
      </c>
      <c r="B276" s="192" t="s">
        <v>525</v>
      </c>
      <c r="C276" s="9">
        <v>20026</v>
      </c>
      <c r="D276" s="9"/>
      <c r="E276" s="9"/>
      <c r="F276" s="9"/>
      <c r="G276" s="9"/>
      <c r="H276" s="1"/>
      <c r="I276" s="9"/>
      <c r="J276" s="9"/>
      <c r="K276" s="9"/>
      <c r="L276" s="9"/>
      <c r="M276" s="9"/>
      <c r="N276" s="9"/>
      <c r="O276" s="9"/>
      <c r="P276" s="1"/>
      <c r="Q276" s="9"/>
      <c r="R276" s="9"/>
      <c r="S276" s="9"/>
      <c r="T276" s="135">
        <f t="shared" si="38"/>
        <v>20026</v>
      </c>
      <c r="U276" s="43"/>
    </row>
    <row r="277" spans="1:21" ht="45">
      <c r="A277" s="183" t="s">
        <v>526</v>
      </c>
      <c r="B277" s="192" t="s">
        <v>527</v>
      </c>
      <c r="C277" s="9">
        <v>26222</v>
      </c>
      <c r="D277" s="9"/>
      <c r="E277" s="9"/>
      <c r="F277" s="9"/>
      <c r="G277" s="9"/>
      <c r="H277" s="1"/>
      <c r="I277" s="9"/>
      <c r="J277" s="9"/>
      <c r="K277" s="9"/>
      <c r="L277" s="9"/>
      <c r="M277" s="9"/>
      <c r="N277" s="9"/>
      <c r="O277" s="9"/>
      <c r="P277" s="1"/>
      <c r="Q277" s="9"/>
      <c r="R277" s="9"/>
      <c r="S277" s="9"/>
      <c r="T277" s="135">
        <f t="shared" si="38"/>
        <v>26222</v>
      </c>
      <c r="U277" s="43"/>
    </row>
    <row r="278" spans="1:21" ht="30">
      <c r="A278" s="183" t="s">
        <v>534</v>
      </c>
      <c r="B278" s="192" t="s">
        <v>537</v>
      </c>
      <c r="C278" s="9">
        <v>91600</v>
      </c>
      <c r="D278" s="9"/>
      <c r="E278" s="9"/>
      <c r="F278" s="9"/>
      <c r="G278" s="9"/>
      <c r="H278" s="1"/>
      <c r="I278" s="9"/>
      <c r="J278" s="9"/>
      <c r="K278" s="9"/>
      <c r="L278" s="9"/>
      <c r="M278" s="9"/>
      <c r="N278" s="9"/>
      <c r="O278" s="9"/>
      <c r="P278" s="1"/>
      <c r="Q278" s="9"/>
      <c r="R278" s="9"/>
      <c r="S278" s="9"/>
      <c r="T278" s="135">
        <f t="shared" si="38"/>
        <v>91600</v>
      </c>
      <c r="U278" s="43"/>
    </row>
    <row r="279" spans="1:21" ht="30">
      <c r="A279" s="183" t="s">
        <v>535</v>
      </c>
      <c r="B279" s="192" t="s">
        <v>538</v>
      </c>
      <c r="C279" s="9">
        <v>98892</v>
      </c>
      <c r="D279" s="9"/>
      <c r="E279" s="9"/>
      <c r="F279" s="9"/>
      <c r="G279" s="9"/>
      <c r="H279" s="1"/>
      <c r="I279" s="9"/>
      <c r="J279" s="9"/>
      <c r="K279" s="9"/>
      <c r="L279" s="9"/>
      <c r="M279" s="9"/>
      <c r="N279" s="9"/>
      <c r="O279" s="9"/>
      <c r="P279" s="1"/>
      <c r="Q279" s="9"/>
      <c r="R279" s="9"/>
      <c r="S279" s="9"/>
      <c r="T279" s="135">
        <f t="shared" si="38"/>
        <v>98892</v>
      </c>
      <c r="U279" s="43"/>
    </row>
    <row r="280" spans="1:21" ht="45">
      <c r="A280" s="183" t="s">
        <v>658</v>
      </c>
      <c r="B280" s="222" t="s">
        <v>659</v>
      </c>
      <c r="C280" s="9">
        <v>57379</v>
      </c>
      <c r="D280" s="9"/>
      <c r="E280" s="9"/>
      <c r="F280" s="9"/>
      <c r="G280" s="9"/>
      <c r="H280" s="1"/>
      <c r="I280" s="9"/>
      <c r="J280" s="9"/>
      <c r="K280" s="9"/>
      <c r="L280" s="9"/>
      <c r="M280" s="9"/>
      <c r="N280" s="9"/>
      <c r="O280" s="9"/>
      <c r="P280" s="9"/>
      <c r="Q280" s="1">
        <v>8799</v>
      </c>
      <c r="R280" s="9">
        <v>7979</v>
      </c>
      <c r="S280" s="9"/>
      <c r="T280" s="135">
        <f t="shared" si="38"/>
        <v>74157</v>
      </c>
      <c r="U280" s="43"/>
    </row>
    <row r="281" spans="1:21" ht="45">
      <c r="A281" s="183" t="s">
        <v>664</v>
      </c>
      <c r="B281" s="222" t="s">
        <v>665</v>
      </c>
      <c r="C281" s="1">
        <v>8101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35">
        <f t="shared" si="38"/>
        <v>8101</v>
      </c>
      <c r="U281" s="43"/>
    </row>
    <row r="282" spans="1:21" ht="30">
      <c r="A282" s="183" t="s">
        <v>674</v>
      </c>
      <c r="B282" s="222" t="s">
        <v>675</v>
      </c>
      <c r="C282" s="1">
        <v>7604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35">
        <f t="shared" si="38"/>
        <v>7604</v>
      </c>
      <c r="U282" s="43"/>
    </row>
    <row r="283" spans="1:21" ht="15">
      <c r="A283" s="224" t="s">
        <v>113</v>
      </c>
      <c r="B283" s="204" t="s">
        <v>600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>
        <f>144013-9997</f>
        <v>134016</v>
      </c>
      <c r="R283" s="1"/>
      <c r="S283" s="1"/>
      <c r="T283" s="225">
        <f t="shared" si="38"/>
        <v>134016</v>
      </c>
      <c r="U283" s="43"/>
    </row>
    <row r="284" spans="1:21" ht="30">
      <c r="A284" s="224" t="s">
        <v>113</v>
      </c>
      <c r="B284" s="204" t="s">
        <v>601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>
        <v>4900</v>
      </c>
      <c r="R284" s="9"/>
      <c r="S284" s="9"/>
      <c r="T284" s="135">
        <f t="shared" si="38"/>
        <v>4900</v>
      </c>
      <c r="U284" s="43"/>
    </row>
    <row r="285" spans="1:21" ht="30">
      <c r="A285" s="224" t="s">
        <v>113</v>
      </c>
      <c r="B285" s="204" t="s">
        <v>602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>
        <v>21630</v>
      </c>
      <c r="R285" s="9"/>
      <c r="S285" s="9"/>
      <c r="T285" s="135">
        <f t="shared" si="38"/>
        <v>21630</v>
      </c>
      <c r="U285" s="43"/>
    </row>
    <row r="286" spans="1:21" ht="30">
      <c r="A286" s="224" t="s">
        <v>113</v>
      </c>
      <c r="B286" s="204" t="s">
        <v>603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>
        <v>18380</v>
      </c>
      <c r="R286" s="9"/>
      <c r="S286" s="9"/>
      <c r="T286" s="135">
        <f t="shared" si="38"/>
        <v>18380</v>
      </c>
      <c r="U286" s="43"/>
    </row>
    <row r="287" spans="1:21" ht="30">
      <c r="A287" s="224" t="s">
        <v>113</v>
      </c>
      <c r="B287" s="204" t="s">
        <v>604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>
        <v>11292</v>
      </c>
      <c r="R287" s="9"/>
      <c r="S287" s="9"/>
      <c r="T287" s="135">
        <f t="shared" si="38"/>
        <v>11292</v>
      </c>
      <c r="U287" s="43"/>
    </row>
    <row r="288" spans="1:21" ht="30">
      <c r="A288" s="224" t="s">
        <v>113</v>
      </c>
      <c r="B288" s="204" t="s">
        <v>605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>
        <v>27956</v>
      </c>
      <c r="R288" s="9"/>
      <c r="S288" s="9"/>
      <c r="T288" s="135">
        <f t="shared" si="38"/>
        <v>27956</v>
      </c>
      <c r="U288" s="43"/>
    </row>
    <row r="289" spans="1:21" ht="30">
      <c r="A289" s="224" t="s">
        <v>113</v>
      </c>
      <c r="B289" s="204" t="s">
        <v>606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>
        <v>21344</v>
      </c>
      <c r="R289" s="9"/>
      <c r="S289" s="9"/>
      <c r="T289" s="135">
        <f t="shared" si="38"/>
        <v>21344</v>
      </c>
      <c r="U289" s="43"/>
    </row>
    <row r="290" spans="1:21" ht="30">
      <c r="A290" s="224" t="s">
        <v>113</v>
      </c>
      <c r="B290" s="222" t="s">
        <v>633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9">
        <v>20993</v>
      </c>
      <c r="S290" s="9"/>
      <c r="T290" s="135">
        <f t="shared" si="38"/>
        <v>20993</v>
      </c>
      <c r="U290" s="43"/>
    </row>
    <row r="291" spans="1:21" ht="30">
      <c r="A291" s="224" t="s">
        <v>113</v>
      </c>
      <c r="B291" s="222" t="s">
        <v>634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9">
        <v>77308</v>
      </c>
      <c r="S291" s="9"/>
      <c r="T291" s="135">
        <f t="shared" si="38"/>
        <v>77308</v>
      </c>
      <c r="U291" s="43"/>
    </row>
    <row r="292" spans="1:21" ht="30">
      <c r="A292" s="224" t="s">
        <v>113</v>
      </c>
      <c r="B292" s="222" t="s">
        <v>635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9">
        <v>14292</v>
      </c>
      <c r="S292" s="9"/>
      <c r="T292" s="135">
        <f t="shared" si="38"/>
        <v>14292</v>
      </c>
      <c r="U292" s="43"/>
    </row>
    <row r="293" spans="1:21" ht="15">
      <c r="A293" s="224" t="s">
        <v>113</v>
      </c>
      <c r="B293" s="222" t="s">
        <v>645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9">
        <v>10963</v>
      </c>
      <c r="S293" s="9"/>
      <c r="T293" s="135">
        <f t="shared" si="38"/>
        <v>10963</v>
      </c>
      <c r="U293" s="43"/>
    </row>
    <row r="294" spans="1:21" ht="30.75" thickBot="1">
      <c r="A294" s="185" t="s">
        <v>663</v>
      </c>
      <c r="B294" s="222" t="s">
        <v>636</v>
      </c>
      <c r="C294" s="1">
        <v>9973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9"/>
      <c r="S294" s="9"/>
      <c r="T294" s="135">
        <f t="shared" si="38"/>
        <v>9973</v>
      </c>
      <c r="U294" s="43"/>
    </row>
    <row r="295" spans="1:21" ht="15.75" thickBot="1">
      <c r="A295" s="76" t="s">
        <v>8</v>
      </c>
      <c r="B295" s="39" t="s">
        <v>114</v>
      </c>
      <c r="C295" s="41">
        <f>SUM(C296+C297+C299+C300+C301+C314)</f>
        <v>4874289</v>
      </c>
      <c r="D295" s="41">
        <f>SUM(D296+D297+D299+D300+D301+D314)</f>
        <v>30453</v>
      </c>
      <c r="E295" s="41">
        <f>SUM(E296+E297+E299+E300+E301+E314)</f>
        <v>0</v>
      </c>
      <c r="F295" s="41"/>
      <c r="G295" s="41">
        <f aca="true" t="shared" si="39" ref="G295:Q295">SUM(G296+G297+G299+G300+G301+G314)</f>
        <v>0</v>
      </c>
      <c r="H295" s="41">
        <f t="shared" si="39"/>
        <v>3970</v>
      </c>
      <c r="I295" s="41">
        <f t="shared" si="39"/>
        <v>3291</v>
      </c>
      <c r="J295" s="41">
        <f t="shared" si="39"/>
        <v>3040</v>
      </c>
      <c r="K295" s="41">
        <f t="shared" si="39"/>
        <v>643540</v>
      </c>
      <c r="L295" s="41">
        <f t="shared" si="39"/>
        <v>2936</v>
      </c>
      <c r="M295" s="41">
        <f t="shared" si="39"/>
        <v>2400</v>
      </c>
      <c r="N295" s="41">
        <f t="shared" si="39"/>
        <v>5450</v>
      </c>
      <c r="O295" s="41">
        <f t="shared" si="39"/>
        <v>2440</v>
      </c>
      <c r="P295" s="41">
        <f t="shared" si="39"/>
        <v>889154</v>
      </c>
      <c r="Q295" s="41">
        <f t="shared" si="39"/>
        <v>1175659</v>
      </c>
      <c r="R295" s="41">
        <f>SUM(R296+R297+R298+R299+R300+R301+R314)</f>
        <v>703116</v>
      </c>
      <c r="S295" s="41">
        <f>SUM(S296+S297+S298+S299+S300+S301+S314)</f>
        <v>0</v>
      </c>
      <c r="T295" s="42">
        <f t="shared" si="38"/>
        <v>8339738</v>
      </c>
      <c r="U295" s="43"/>
    </row>
    <row r="296" spans="1:21" ht="29.25">
      <c r="A296" s="226" t="s">
        <v>607</v>
      </c>
      <c r="B296" s="227" t="s">
        <v>608</v>
      </c>
      <c r="C296" s="69"/>
      <c r="D296" s="69"/>
      <c r="E296" s="69"/>
      <c r="F296" s="69"/>
      <c r="G296" s="69"/>
      <c r="H296" s="68"/>
      <c r="I296" s="69"/>
      <c r="J296" s="69"/>
      <c r="K296" s="69"/>
      <c r="L296" s="69"/>
      <c r="M296" s="69"/>
      <c r="N296" s="69"/>
      <c r="O296" s="69"/>
      <c r="P296" s="69"/>
      <c r="Q296" s="69">
        <v>108240</v>
      </c>
      <c r="R296" s="69"/>
      <c r="S296" s="129"/>
      <c r="T296" s="47">
        <f t="shared" si="38"/>
        <v>108240</v>
      </c>
      <c r="U296" s="43"/>
    </row>
    <row r="297" spans="1:21" ht="16.5" customHeight="1">
      <c r="A297" s="127" t="s">
        <v>424</v>
      </c>
      <c r="B297" s="128" t="s">
        <v>178</v>
      </c>
      <c r="C297" s="129">
        <f>166180-166+100886-196</f>
        <v>266704</v>
      </c>
      <c r="D297" s="84"/>
      <c r="E297" s="84"/>
      <c r="F297" s="129"/>
      <c r="G297" s="129"/>
      <c r="H297" s="84">
        <v>850</v>
      </c>
      <c r="I297" s="84"/>
      <c r="J297" s="84"/>
      <c r="K297" s="84">
        <v>362</v>
      </c>
      <c r="L297" s="84"/>
      <c r="M297" s="84"/>
      <c r="N297" s="84"/>
      <c r="O297" s="129"/>
      <c r="P297" s="84">
        <v>38930</v>
      </c>
      <c r="Q297" s="129">
        <v>93398</v>
      </c>
      <c r="R297" s="129">
        <v>48980</v>
      </c>
      <c r="S297" s="14"/>
      <c r="T297" s="135">
        <f t="shared" si="38"/>
        <v>449224</v>
      </c>
      <c r="U297" s="43"/>
    </row>
    <row r="298" spans="1:21" ht="16.5" customHeight="1">
      <c r="A298" s="127"/>
      <c r="B298" s="128" t="s">
        <v>648</v>
      </c>
      <c r="C298" s="129"/>
      <c r="D298" s="129"/>
      <c r="E298" s="129"/>
      <c r="F298" s="129"/>
      <c r="G298" s="129"/>
      <c r="H298" s="84"/>
      <c r="I298" s="84"/>
      <c r="J298" s="84"/>
      <c r="K298" s="84"/>
      <c r="L298" s="134"/>
      <c r="M298" s="134"/>
      <c r="N298" s="129"/>
      <c r="O298" s="129"/>
      <c r="P298" s="129"/>
      <c r="Q298" s="129"/>
      <c r="R298" s="129">
        <v>14040</v>
      </c>
      <c r="S298" s="14"/>
      <c r="T298" s="135">
        <f t="shared" si="38"/>
        <v>14040</v>
      </c>
      <c r="U298" s="43"/>
    </row>
    <row r="299" spans="1:21" ht="15">
      <c r="A299" s="127" t="s">
        <v>425</v>
      </c>
      <c r="B299" s="128" t="s">
        <v>150</v>
      </c>
      <c r="C299" s="129">
        <f>14050+16115</f>
        <v>30165</v>
      </c>
      <c r="D299" s="129"/>
      <c r="E299" s="129"/>
      <c r="F299" s="129"/>
      <c r="G299" s="129"/>
      <c r="H299" s="84">
        <v>2390</v>
      </c>
      <c r="I299" s="84">
        <v>2390</v>
      </c>
      <c r="J299" s="84">
        <v>2390</v>
      </c>
      <c r="K299" s="84">
        <v>2390</v>
      </c>
      <c r="L299" s="134">
        <v>2400</v>
      </c>
      <c r="M299" s="134">
        <v>2400</v>
      </c>
      <c r="N299" s="129">
        <v>2400</v>
      </c>
      <c r="O299" s="129">
        <v>2390</v>
      </c>
      <c r="P299" s="129">
        <v>4138</v>
      </c>
      <c r="Q299" s="129">
        <v>8263</v>
      </c>
      <c r="R299" s="129">
        <v>4106</v>
      </c>
      <c r="S299" s="14"/>
      <c r="T299" s="135">
        <f t="shared" si="38"/>
        <v>65822</v>
      </c>
      <c r="U299" s="43"/>
    </row>
    <row r="300" spans="1:21" ht="15">
      <c r="A300" s="127" t="s">
        <v>115</v>
      </c>
      <c r="B300" s="128" t="s">
        <v>116</v>
      </c>
      <c r="C300" s="129"/>
      <c r="D300" s="46"/>
      <c r="E300" s="46"/>
      <c r="F300" s="11"/>
      <c r="G300" s="11"/>
      <c r="H300" s="46"/>
      <c r="I300" s="46"/>
      <c r="J300" s="46"/>
      <c r="K300" s="46"/>
      <c r="L300" s="46"/>
      <c r="M300" s="46"/>
      <c r="N300" s="46"/>
      <c r="O300" s="11"/>
      <c r="P300" s="11"/>
      <c r="Q300" s="11"/>
      <c r="R300" s="11"/>
      <c r="S300" s="9"/>
      <c r="T300" s="135">
        <f t="shared" si="38"/>
        <v>0</v>
      </c>
      <c r="U300" s="43"/>
    </row>
    <row r="301" spans="1:21" ht="29.25">
      <c r="A301" s="136" t="s">
        <v>117</v>
      </c>
      <c r="B301" s="86" t="s">
        <v>118</v>
      </c>
      <c r="C301" s="87">
        <f>SUM(C302:C313)</f>
        <v>4577420</v>
      </c>
      <c r="D301" s="87">
        <f>SUM(D302:D313)</f>
        <v>30453</v>
      </c>
      <c r="E301" s="87">
        <f>SUM(E302:E313)</f>
        <v>0</v>
      </c>
      <c r="F301" s="87"/>
      <c r="G301" s="87">
        <f aca="true" t="shared" si="40" ref="G301:S301">SUM(G302:G313)</f>
        <v>0</v>
      </c>
      <c r="H301" s="88">
        <f t="shared" si="40"/>
        <v>730</v>
      </c>
      <c r="I301" s="89">
        <f t="shared" si="40"/>
        <v>901</v>
      </c>
      <c r="J301" s="87">
        <f t="shared" si="40"/>
        <v>650</v>
      </c>
      <c r="K301" s="87">
        <f t="shared" si="40"/>
        <v>640788</v>
      </c>
      <c r="L301" s="87">
        <f t="shared" si="40"/>
        <v>536</v>
      </c>
      <c r="M301" s="87">
        <f t="shared" si="40"/>
        <v>0</v>
      </c>
      <c r="N301" s="87">
        <f t="shared" si="40"/>
        <v>3050</v>
      </c>
      <c r="O301" s="87">
        <f t="shared" si="40"/>
        <v>50</v>
      </c>
      <c r="P301" s="87">
        <f t="shared" si="40"/>
        <v>758769</v>
      </c>
      <c r="Q301" s="87">
        <f t="shared" si="40"/>
        <v>924908</v>
      </c>
      <c r="R301" s="87">
        <f t="shared" si="40"/>
        <v>635990</v>
      </c>
      <c r="S301" s="88">
        <f t="shared" si="40"/>
        <v>0</v>
      </c>
      <c r="T301" s="135">
        <f t="shared" si="38"/>
        <v>7574245</v>
      </c>
      <c r="U301" s="43"/>
    </row>
    <row r="302" spans="1:22" ht="15">
      <c r="A302" s="48" t="s">
        <v>247</v>
      </c>
      <c r="B302" s="49" t="s">
        <v>119</v>
      </c>
      <c r="C302" s="9">
        <f>1018029+6049</f>
        <v>1024078</v>
      </c>
      <c r="D302" s="1">
        <f>55453-25000</f>
        <v>30453</v>
      </c>
      <c r="E302" s="1"/>
      <c r="F302" s="9"/>
      <c r="G302" s="9"/>
      <c r="H302" s="90">
        <v>730</v>
      </c>
      <c r="I302" s="1"/>
      <c r="J302" s="1">
        <v>100</v>
      </c>
      <c r="K302" s="1">
        <v>1783</v>
      </c>
      <c r="L302" s="1">
        <v>536</v>
      </c>
      <c r="M302" s="1"/>
      <c r="N302" s="90">
        <v>3050</v>
      </c>
      <c r="O302" s="52">
        <v>50</v>
      </c>
      <c r="P302" s="90">
        <v>330547</v>
      </c>
      <c r="Q302" s="90">
        <f>865436+2749</f>
        <v>868185</v>
      </c>
      <c r="R302" s="52">
        <v>526989</v>
      </c>
      <c r="S302" s="9"/>
      <c r="T302" s="135">
        <f t="shared" si="38"/>
        <v>2786501</v>
      </c>
      <c r="U302" s="43"/>
      <c r="V302" s="108"/>
    </row>
    <row r="303" spans="1:22" ht="15">
      <c r="A303" s="48" t="s">
        <v>248</v>
      </c>
      <c r="B303" s="49" t="s">
        <v>18</v>
      </c>
      <c r="C303" s="9">
        <f>1319314-9000+115397</f>
        <v>1425711</v>
      </c>
      <c r="D303" s="1"/>
      <c r="E303" s="1"/>
      <c r="F303" s="9"/>
      <c r="G303" s="9"/>
      <c r="H303" s="90"/>
      <c r="I303" s="1">
        <f>2000-1099</f>
        <v>901</v>
      </c>
      <c r="J303" s="1"/>
      <c r="K303" s="1"/>
      <c r="L303" s="1"/>
      <c r="M303" s="1"/>
      <c r="N303" s="90"/>
      <c r="O303" s="52"/>
      <c r="P303" s="90"/>
      <c r="Q303" s="90"/>
      <c r="R303" s="52"/>
      <c r="S303" s="9"/>
      <c r="T303" s="135">
        <f t="shared" si="38"/>
        <v>1426612</v>
      </c>
      <c r="U303" s="43"/>
      <c r="V303" s="108"/>
    </row>
    <row r="304" spans="1:21" ht="15">
      <c r="A304" s="48" t="s">
        <v>291</v>
      </c>
      <c r="B304" s="49" t="s">
        <v>292</v>
      </c>
      <c r="C304" s="9">
        <v>264647</v>
      </c>
      <c r="D304" s="1"/>
      <c r="E304" s="1"/>
      <c r="F304" s="9"/>
      <c r="G304" s="9"/>
      <c r="H304" s="1"/>
      <c r="I304" s="1"/>
      <c r="J304" s="1"/>
      <c r="K304" s="1"/>
      <c r="L304" s="1"/>
      <c r="M304" s="1"/>
      <c r="N304" s="1"/>
      <c r="O304" s="9"/>
      <c r="P304" s="9"/>
      <c r="Q304" s="9"/>
      <c r="R304" s="9">
        <v>65330</v>
      </c>
      <c r="S304" s="9"/>
      <c r="T304" s="135">
        <f t="shared" si="38"/>
        <v>329977</v>
      </c>
      <c r="U304" s="43"/>
    </row>
    <row r="305" spans="1:21" ht="15">
      <c r="A305" s="48" t="s">
        <v>249</v>
      </c>
      <c r="B305" s="49" t="s">
        <v>152</v>
      </c>
      <c r="C305" s="9"/>
      <c r="D305" s="1"/>
      <c r="E305" s="1"/>
      <c r="F305" s="9"/>
      <c r="G305" s="9"/>
      <c r="H305" s="1"/>
      <c r="I305" s="1"/>
      <c r="J305" s="1"/>
      <c r="K305" s="1">
        <f>633235+3200</f>
        <v>636435</v>
      </c>
      <c r="L305" s="1"/>
      <c r="M305" s="1"/>
      <c r="N305" s="1"/>
      <c r="O305" s="9"/>
      <c r="P305" s="9"/>
      <c r="Q305" s="9"/>
      <c r="R305" s="9"/>
      <c r="S305" s="9"/>
      <c r="T305" s="135">
        <f t="shared" si="38"/>
        <v>636435</v>
      </c>
      <c r="U305" s="43"/>
    </row>
    <row r="306" spans="1:21" ht="15">
      <c r="A306" s="48" t="s">
        <v>117</v>
      </c>
      <c r="B306" s="49" t="s">
        <v>563</v>
      </c>
      <c r="C306" s="9"/>
      <c r="D306" s="1"/>
      <c r="E306" s="1"/>
      <c r="F306" s="9"/>
      <c r="G306" s="9"/>
      <c r="H306" s="1"/>
      <c r="I306" s="1"/>
      <c r="J306" s="1"/>
      <c r="K306" s="1"/>
      <c r="L306" s="1"/>
      <c r="M306" s="1"/>
      <c r="N306" s="1"/>
      <c r="O306" s="9"/>
      <c r="P306" s="9">
        <v>424851</v>
      </c>
      <c r="Q306" s="9"/>
      <c r="R306" s="9"/>
      <c r="S306" s="9"/>
      <c r="T306" s="135">
        <f t="shared" si="38"/>
        <v>424851</v>
      </c>
      <c r="U306" s="43"/>
    </row>
    <row r="307" spans="1:21" ht="30">
      <c r="A307" s="48" t="s">
        <v>308</v>
      </c>
      <c r="B307" s="17" t="s">
        <v>309</v>
      </c>
      <c r="C307" s="1">
        <f>26350+28157</f>
        <v>54507</v>
      </c>
      <c r="D307" s="1"/>
      <c r="E307" s="1"/>
      <c r="F307" s="9"/>
      <c r="G307" s="9"/>
      <c r="H307" s="1"/>
      <c r="I307" s="1"/>
      <c r="J307" s="1"/>
      <c r="K307" s="1"/>
      <c r="L307" s="1"/>
      <c r="M307" s="1"/>
      <c r="N307" s="1"/>
      <c r="O307" s="9"/>
      <c r="P307" s="9"/>
      <c r="Q307" s="9"/>
      <c r="R307" s="9"/>
      <c r="S307" s="9"/>
      <c r="T307" s="135">
        <f t="shared" si="38"/>
        <v>54507</v>
      </c>
      <c r="U307" s="43"/>
    </row>
    <row r="308" spans="1:21" ht="31.5">
      <c r="A308" s="165" t="s">
        <v>385</v>
      </c>
      <c r="B308" s="228" t="s">
        <v>386</v>
      </c>
      <c r="C308" s="9">
        <f>15000+3150</f>
        <v>18150</v>
      </c>
      <c r="D308" s="1"/>
      <c r="E308" s="1"/>
      <c r="F308" s="9"/>
      <c r="G308" s="9"/>
      <c r="H308" s="1"/>
      <c r="I308" s="1"/>
      <c r="J308" s="1"/>
      <c r="K308" s="9"/>
      <c r="L308" s="9"/>
      <c r="M308" s="9"/>
      <c r="N308" s="9"/>
      <c r="O308" s="9"/>
      <c r="P308" s="9"/>
      <c r="Q308" s="9"/>
      <c r="R308" s="9"/>
      <c r="S308" s="9"/>
      <c r="T308" s="135">
        <f t="shared" si="38"/>
        <v>18150</v>
      </c>
      <c r="U308" s="43"/>
    </row>
    <row r="309" spans="1:21" ht="15">
      <c r="A309" s="48" t="s">
        <v>250</v>
      </c>
      <c r="B309" s="49" t="s">
        <v>151</v>
      </c>
      <c r="C309" s="9">
        <v>45241</v>
      </c>
      <c r="D309" s="1"/>
      <c r="E309" s="1"/>
      <c r="F309" s="9"/>
      <c r="G309" s="9"/>
      <c r="H309" s="1"/>
      <c r="I309" s="1"/>
      <c r="J309" s="1">
        <v>550</v>
      </c>
      <c r="K309" s="9">
        <v>2570</v>
      </c>
      <c r="L309" s="9"/>
      <c r="M309" s="9"/>
      <c r="N309" s="9"/>
      <c r="O309" s="9"/>
      <c r="P309" s="9"/>
      <c r="Q309" s="9"/>
      <c r="R309" s="9"/>
      <c r="S309" s="9"/>
      <c r="T309" s="135">
        <f t="shared" si="38"/>
        <v>48361</v>
      </c>
      <c r="U309" s="43"/>
    </row>
    <row r="310" spans="1:21" ht="30">
      <c r="A310" s="165" t="s">
        <v>390</v>
      </c>
      <c r="B310" s="229" t="s">
        <v>389</v>
      </c>
      <c r="C310" s="9">
        <f>19128+13721</f>
        <v>32849</v>
      </c>
      <c r="D310" s="1"/>
      <c r="E310" s="1"/>
      <c r="F310" s="9"/>
      <c r="G310" s="9"/>
      <c r="H310" s="1"/>
      <c r="I310" s="1"/>
      <c r="J310" s="1"/>
      <c r="K310" s="9"/>
      <c r="L310" s="9"/>
      <c r="M310" s="9"/>
      <c r="N310" s="9"/>
      <c r="O310" s="9"/>
      <c r="P310" s="9"/>
      <c r="Q310" s="9"/>
      <c r="R310" s="9"/>
      <c r="S310" s="9"/>
      <c r="T310" s="135">
        <f t="shared" si="38"/>
        <v>32849</v>
      </c>
      <c r="U310" s="43"/>
    </row>
    <row r="311" spans="1:21" ht="45">
      <c r="A311" s="48" t="s">
        <v>282</v>
      </c>
      <c r="B311" s="160" t="s">
        <v>426</v>
      </c>
      <c r="C311" s="9">
        <f>53800+50500</f>
        <v>104300</v>
      </c>
      <c r="D311" s="1"/>
      <c r="E311" s="1"/>
      <c r="F311" s="9"/>
      <c r="G311" s="9"/>
      <c r="H311" s="1"/>
      <c r="I311" s="1"/>
      <c r="J311" s="1"/>
      <c r="K311" s="9"/>
      <c r="L311" s="9"/>
      <c r="M311" s="9"/>
      <c r="N311" s="9"/>
      <c r="O311" s="9"/>
      <c r="P311" s="9">
        <v>3371</v>
      </c>
      <c r="Q311" s="9">
        <v>19871</v>
      </c>
      <c r="R311" s="9">
        <v>43671</v>
      </c>
      <c r="S311" s="9"/>
      <c r="T311" s="135">
        <f t="shared" si="38"/>
        <v>171213</v>
      </c>
      <c r="U311" s="43"/>
    </row>
    <row r="312" spans="1:21" ht="30">
      <c r="A312" s="157" t="s">
        <v>340</v>
      </c>
      <c r="B312" s="192" t="s">
        <v>341</v>
      </c>
      <c r="C312" s="1">
        <v>1607937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9"/>
      <c r="P312" s="1"/>
      <c r="Q312" s="9"/>
      <c r="R312" s="9"/>
      <c r="S312" s="9"/>
      <c r="T312" s="135">
        <f t="shared" si="38"/>
        <v>1607937</v>
      </c>
      <c r="U312" s="43"/>
    </row>
    <row r="313" spans="1:21" ht="15">
      <c r="A313" s="157" t="s">
        <v>117</v>
      </c>
      <c r="B313" s="163" t="s">
        <v>609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>
        <f>55422-18570</f>
        <v>36852</v>
      </c>
      <c r="R313" s="9"/>
      <c r="S313" s="9"/>
      <c r="T313" s="135">
        <f t="shared" si="38"/>
        <v>36852</v>
      </c>
      <c r="U313" s="43"/>
    </row>
    <row r="314" spans="1:21" ht="19.5" customHeight="1">
      <c r="A314" s="195" t="s">
        <v>564</v>
      </c>
      <c r="B314" s="230" t="s">
        <v>565</v>
      </c>
      <c r="C314" s="9"/>
      <c r="D314" s="9"/>
      <c r="E314" s="9"/>
      <c r="F314" s="9"/>
      <c r="G314" s="9">
        <f aca="true" t="shared" si="41" ref="G314:O314">SUM(G317:G318)</f>
        <v>0</v>
      </c>
      <c r="H314" s="9">
        <f t="shared" si="41"/>
        <v>0</v>
      </c>
      <c r="I314" s="9">
        <f t="shared" si="41"/>
        <v>0</v>
      </c>
      <c r="J314" s="9">
        <f t="shared" si="41"/>
        <v>0</v>
      </c>
      <c r="K314" s="9">
        <f t="shared" si="41"/>
        <v>0</v>
      </c>
      <c r="L314" s="9">
        <f t="shared" si="41"/>
        <v>0</v>
      </c>
      <c r="M314" s="9">
        <f t="shared" si="41"/>
        <v>0</v>
      </c>
      <c r="N314" s="9">
        <f t="shared" si="41"/>
        <v>0</v>
      </c>
      <c r="O314" s="9">
        <f t="shared" si="41"/>
        <v>0</v>
      </c>
      <c r="P314" s="9">
        <f>SUM(P315:P318)</f>
        <v>87317</v>
      </c>
      <c r="Q314" s="9">
        <f>SUM(Q315:Q318)</f>
        <v>40850</v>
      </c>
      <c r="R314" s="9">
        <f>SUM(R315:R318)</f>
        <v>0</v>
      </c>
      <c r="S314" s="9"/>
      <c r="T314" s="135">
        <f t="shared" si="38"/>
        <v>128167</v>
      </c>
      <c r="U314" s="43"/>
    </row>
    <row r="315" spans="1:21" ht="30">
      <c r="A315" s="165" t="s">
        <v>652</v>
      </c>
      <c r="B315" s="160" t="s">
        <v>610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>
        <v>5850</v>
      </c>
      <c r="R315" s="9"/>
      <c r="S315" s="9"/>
      <c r="T315" s="135">
        <f t="shared" si="38"/>
        <v>5850</v>
      </c>
      <c r="U315" s="43"/>
    </row>
    <row r="316" spans="1:21" ht="19.5" customHeight="1">
      <c r="A316" s="165" t="s">
        <v>652</v>
      </c>
      <c r="B316" s="160" t="s">
        <v>611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>
        <v>35000</v>
      </c>
      <c r="R316" s="9"/>
      <c r="S316" s="9"/>
      <c r="T316" s="135">
        <f t="shared" si="38"/>
        <v>35000</v>
      </c>
      <c r="U316" s="43"/>
    </row>
    <row r="317" spans="1:21" ht="15">
      <c r="A317" s="165" t="s">
        <v>564</v>
      </c>
      <c r="B317" s="3" t="s">
        <v>566</v>
      </c>
      <c r="C317" s="9"/>
      <c r="D317" s="9"/>
      <c r="E317" s="9"/>
      <c r="F317" s="9"/>
      <c r="G317" s="1"/>
      <c r="H317" s="1"/>
      <c r="I317" s="1"/>
      <c r="J317" s="1"/>
      <c r="K317" s="9"/>
      <c r="L317" s="9"/>
      <c r="M317" s="9"/>
      <c r="N317" s="9"/>
      <c r="O317" s="9"/>
      <c r="P317" s="9">
        <v>25317</v>
      </c>
      <c r="Q317" s="9"/>
      <c r="R317" s="9"/>
      <c r="S317" s="9"/>
      <c r="T317" s="135">
        <f t="shared" si="38"/>
        <v>25317</v>
      </c>
      <c r="U317" s="43"/>
    </row>
    <row r="318" spans="1:21" ht="15.75" thickBot="1">
      <c r="A318" s="174" t="s">
        <v>564</v>
      </c>
      <c r="B318" s="3" t="s">
        <v>567</v>
      </c>
      <c r="C318" s="12"/>
      <c r="D318" s="12"/>
      <c r="E318" s="12"/>
      <c r="F318" s="12"/>
      <c r="G318" s="75"/>
      <c r="H318" s="75"/>
      <c r="I318" s="75"/>
      <c r="J318" s="75"/>
      <c r="K318" s="12"/>
      <c r="L318" s="12"/>
      <c r="M318" s="12"/>
      <c r="N318" s="12"/>
      <c r="O318" s="12"/>
      <c r="P318" s="231">
        <v>62000</v>
      </c>
      <c r="Q318" s="12"/>
      <c r="R318" s="79"/>
      <c r="S318" s="94"/>
      <c r="T318" s="145">
        <f t="shared" si="38"/>
        <v>62000</v>
      </c>
      <c r="U318" s="43"/>
    </row>
    <row r="319" spans="1:21" ht="15.75" thickBot="1">
      <c r="A319" s="232"/>
      <c r="B319" s="39" t="s">
        <v>20</v>
      </c>
      <c r="C319" s="41">
        <f aca="true" t="shared" si="42" ref="C319:S319">C7+C20+C27+C82+C97+C135+C143+C183+C295</f>
        <v>63083476</v>
      </c>
      <c r="D319" s="41">
        <f t="shared" si="42"/>
        <v>3629278</v>
      </c>
      <c r="E319" s="41">
        <f t="shared" si="42"/>
        <v>850604</v>
      </c>
      <c r="F319" s="41">
        <f t="shared" si="42"/>
        <v>539942</v>
      </c>
      <c r="G319" s="40">
        <f t="shared" si="42"/>
        <v>396142</v>
      </c>
      <c r="H319" s="40">
        <f t="shared" si="42"/>
        <v>1934775</v>
      </c>
      <c r="I319" s="40">
        <f t="shared" si="42"/>
        <v>441873</v>
      </c>
      <c r="J319" s="40">
        <f t="shared" si="42"/>
        <v>1019763</v>
      </c>
      <c r="K319" s="41">
        <f t="shared" si="42"/>
        <v>3207915</v>
      </c>
      <c r="L319" s="41">
        <f t="shared" si="42"/>
        <v>384730</v>
      </c>
      <c r="M319" s="41">
        <f t="shared" si="42"/>
        <v>376802</v>
      </c>
      <c r="N319" s="41">
        <f t="shared" si="42"/>
        <v>347969</v>
      </c>
      <c r="O319" s="41">
        <f t="shared" si="42"/>
        <v>1059187</v>
      </c>
      <c r="P319" s="41">
        <f t="shared" si="42"/>
        <v>7631711</v>
      </c>
      <c r="Q319" s="41">
        <f t="shared" si="42"/>
        <v>18170960</v>
      </c>
      <c r="R319" s="40">
        <f t="shared" si="42"/>
        <v>14897769</v>
      </c>
      <c r="S319" s="40">
        <f t="shared" si="42"/>
        <v>324838</v>
      </c>
      <c r="T319" s="42">
        <f>SUM(C319:S319)</f>
        <v>118297734</v>
      </c>
      <c r="U319" s="43"/>
    </row>
    <row r="320" spans="1:21" ht="15">
      <c r="A320" s="110" t="s">
        <v>653</v>
      </c>
      <c r="B320" s="74" t="s">
        <v>654</v>
      </c>
      <c r="C320" s="114">
        <f>3066633+850197+329094+256265+311186+513393</f>
        <v>5326768</v>
      </c>
      <c r="D320" s="114"/>
      <c r="E320" s="114"/>
      <c r="F320" s="114"/>
      <c r="G320" s="113"/>
      <c r="H320" s="113"/>
      <c r="I320" s="114"/>
      <c r="J320" s="114"/>
      <c r="K320" s="114"/>
      <c r="L320" s="114"/>
      <c r="M320" s="114"/>
      <c r="N320" s="114"/>
      <c r="O320" s="114"/>
      <c r="P320" s="114">
        <v>697721</v>
      </c>
      <c r="Q320" s="114">
        <v>897664</v>
      </c>
      <c r="R320" s="114">
        <v>305757</v>
      </c>
      <c r="S320" s="114"/>
      <c r="T320" s="113">
        <f>SUM(C320:S320)</f>
        <v>7227910</v>
      </c>
      <c r="U320" s="43"/>
    </row>
    <row r="321" spans="1:20" ht="29.25">
      <c r="A321" s="110" t="s">
        <v>612</v>
      </c>
      <c r="B321" s="233" t="s">
        <v>638</v>
      </c>
      <c r="C321" s="114"/>
      <c r="D321" s="114"/>
      <c r="E321" s="114"/>
      <c r="F321" s="114"/>
      <c r="G321" s="113"/>
      <c r="H321" s="114"/>
      <c r="I321" s="114"/>
      <c r="J321" s="114"/>
      <c r="K321" s="114"/>
      <c r="L321" s="114"/>
      <c r="M321" s="114"/>
      <c r="N321" s="114"/>
      <c r="O321" s="114"/>
      <c r="P321" s="114"/>
      <c r="Q321" s="108">
        <v>2309557</v>
      </c>
      <c r="R321" s="114"/>
      <c r="S321" s="114"/>
      <c r="T321" s="113">
        <f>SUM(C321:S321)</f>
        <v>2309557</v>
      </c>
    </row>
    <row r="322" spans="1:20" ht="29.25">
      <c r="A322" s="110" t="s">
        <v>612</v>
      </c>
      <c r="B322" s="233" t="s">
        <v>637</v>
      </c>
      <c r="C322" s="108"/>
      <c r="D322" s="108"/>
      <c r="E322" s="108"/>
      <c r="F322" s="108"/>
      <c r="G322" s="94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>
        <v>65000</v>
      </c>
      <c r="S322" s="108"/>
      <c r="T322" s="113">
        <f>SUM(C322:S322)</f>
        <v>65000</v>
      </c>
    </row>
    <row r="323" spans="1:21" ht="30">
      <c r="A323" s="234" t="s">
        <v>271</v>
      </c>
      <c r="B323" s="202" t="s">
        <v>283</v>
      </c>
      <c r="C323" s="108">
        <f>800000-218000-123327+50000-20000-129238</f>
        <v>359435</v>
      </c>
      <c r="D323" s="108">
        <f>1667281-318389</f>
        <v>1348892</v>
      </c>
      <c r="E323" s="108"/>
      <c r="F323" s="108"/>
      <c r="G323" s="94">
        <v>61724</v>
      </c>
      <c r="H323" s="108">
        <f>52382-18512-16673</f>
        <v>17197</v>
      </c>
      <c r="I323" s="108">
        <v>19204</v>
      </c>
      <c r="J323" s="108"/>
      <c r="K323" s="108">
        <v>18110</v>
      </c>
      <c r="L323" s="108"/>
      <c r="M323" s="108">
        <f>12954-58</f>
        <v>12896</v>
      </c>
      <c r="N323" s="108">
        <f>28468-5400-4720</f>
        <v>18348</v>
      </c>
      <c r="O323" s="108">
        <f>30576-14400</f>
        <v>16176</v>
      </c>
      <c r="P323" s="108">
        <f>87072-14264</f>
        <v>72808</v>
      </c>
      <c r="Q323" s="108">
        <v>150000</v>
      </c>
      <c r="R323" s="108"/>
      <c r="S323" s="108"/>
      <c r="T323" s="113">
        <f>SUM(C323:R323)</f>
        <v>2094790</v>
      </c>
      <c r="U323" s="108"/>
    </row>
    <row r="324" spans="1:20" ht="30">
      <c r="A324" s="217" t="s">
        <v>251</v>
      </c>
      <c r="B324" s="235" t="s">
        <v>252</v>
      </c>
      <c r="C324" s="113">
        <v>24437287</v>
      </c>
      <c r="D324" s="113">
        <v>-837623</v>
      </c>
      <c r="E324" s="113">
        <v>-574194</v>
      </c>
      <c r="F324" s="113">
        <v>-508657</v>
      </c>
      <c r="G324" s="113">
        <v>-87615</v>
      </c>
      <c r="H324" s="113">
        <v>-1503527</v>
      </c>
      <c r="I324" s="113">
        <v>-254426</v>
      </c>
      <c r="J324" s="113">
        <v>-678907</v>
      </c>
      <c r="K324" s="113">
        <v>-1751439</v>
      </c>
      <c r="L324" s="113">
        <v>-211604</v>
      </c>
      <c r="M324" s="113">
        <v>-225662</v>
      </c>
      <c r="N324" s="113">
        <v>-245802</v>
      </c>
      <c r="O324" s="113">
        <v>-890124</v>
      </c>
      <c r="P324" s="113">
        <v>-2229576</v>
      </c>
      <c r="Q324" s="113">
        <v>-9286281</v>
      </c>
      <c r="R324" s="113">
        <v>-5001850</v>
      </c>
      <c r="S324" s="113">
        <v>-150000</v>
      </c>
      <c r="T324" s="113">
        <v>0</v>
      </c>
    </row>
    <row r="325" spans="1:20" ht="15">
      <c r="A325" s="108"/>
      <c r="B325" s="248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ht="15">
      <c r="A326" s="108"/>
      <c r="B326" s="20" t="s">
        <v>268</v>
      </c>
      <c r="C326" s="108"/>
      <c r="D326" s="108" t="s">
        <v>21</v>
      </c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14"/>
    </row>
    <row r="327" spans="1:21" ht="15">
      <c r="A327" s="94"/>
      <c r="B327" s="74"/>
      <c r="C327" s="113"/>
      <c r="D327" s="113"/>
      <c r="E327" s="113"/>
      <c r="F327" s="113"/>
      <c r="G327" s="113"/>
      <c r="H327" s="236"/>
      <c r="I327" s="94"/>
      <c r="J327" s="108"/>
      <c r="K327" s="94"/>
      <c r="L327" s="94"/>
      <c r="M327" s="94"/>
      <c r="N327" s="108"/>
      <c r="O327" s="108"/>
      <c r="P327" s="108"/>
      <c r="Q327" s="108"/>
      <c r="R327" s="94"/>
      <c r="S327" s="94"/>
      <c r="T327" s="94"/>
      <c r="U327" s="27"/>
    </row>
    <row r="328" spans="1:21" ht="15">
      <c r="A328" s="94"/>
      <c r="B328" s="74"/>
      <c r="C328" s="113"/>
      <c r="D328" s="113"/>
      <c r="E328" s="113"/>
      <c r="F328" s="113"/>
      <c r="G328" s="113"/>
      <c r="H328" s="236"/>
      <c r="I328" s="94"/>
      <c r="J328" s="108"/>
      <c r="K328" s="94"/>
      <c r="L328" s="94"/>
      <c r="M328" s="94"/>
      <c r="N328" s="108"/>
      <c r="O328" s="108"/>
      <c r="P328" s="108"/>
      <c r="Q328" s="108"/>
      <c r="R328" s="94"/>
      <c r="S328" s="94"/>
      <c r="T328" s="94"/>
      <c r="U328" s="27"/>
    </row>
    <row r="329" spans="1:21" ht="15">
      <c r="A329" s="94"/>
      <c r="B329" s="74"/>
      <c r="C329" s="113"/>
      <c r="D329" s="113"/>
      <c r="E329" s="113"/>
      <c r="F329" s="113"/>
      <c r="G329" s="113"/>
      <c r="H329" s="236"/>
      <c r="I329" s="94"/>
      <c r="J329" s="108"/>
      <c r="K329" s="94"/>
      <c r="L329" s="94"/>
      <c r="M329" s="94"/>
      <c r="N329" s="108"/>
      <c r="O329" s="108"/>
      <c r="P329" s="108"/>
      <c r="Q329" s="108"/>
      <c r="R329" s="94"/>
      <c r="S329" s="94"/>
      <c r="T329" s="94"/>
      <c r="U329" s="27"/>
    </row>
    <row r="330" spans="1:20" ht="15">
      <c r="A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14"/>
    </row>
    <row r="331" spans="1:20" ht="44.25" customHeight="1" thickBot="1">
      <c r="A331" s="306" t="s">
        <v>528</v>
      </c>
      <c r="B331" s="306"/>
      <c r="C331" s="306"/>
      <c r="D331" s="306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14"/>
    </row>
    <row r="332" spans="1:21" ht="135.75" thickBot="1">
      <c r="A332" s="120" t="s">
        <v>10</v>
      </c>
      <c r="B332" s="121" t="s">
        <v>127</v>
      </c>
      <c r="C332" s="30" t="s">
        <v>479</v>
      </c>
      <c r="D332" s="122" t="s">
        <v>480</v>
      </c>
      <c r="E332" s="32" t="s">
        <v>680</v>
      </c>
      <c r="F332" s="32" t="s">
        <v>681</v>
      </c>
      <c r="G332" s="30" t="s">
        <v>481</v>
      </c>
      <c r="H332" s="123" t="s">
        <v>482</v>
      </c>
      <c r="I332" s="123" t="s">
        <v>483</v>
      </c>
      <c r="J332" s="123" t="s">
        <v>484</v>
      </c>
      <c r="K332" s="123" t="s">
        <v>485</v>
      </c>
      <c r="L332" s="123" t="s">
        <v>486</v>
      </c>
      <c r="M332" s="123" t="s">
        <v>487</v>
      </c>
      <c r="N332" s="123" t="s">
        <v>488</v>
      </c>
      <c r="O332" s="124" t="s">
        <v>489</v>
      </c>
      <c r="P332" s="34" t="s">
        <v>660</v>
      </c>
      <c r="Q332" s="34" t="s">
        <v>661</v>
      </c>
      <c r="R332" s="33" t="s">
        <v>614</v>
      </c>
      <c r="S332" s="35" t="s">
        <v>639</v>
      </c>
      <c r="T332" s="125" t="s">
        <v>490</v>
      </c>
      <c r="U332" s="37"/>
    </row>
    <row r="333" spans="1:20" ht="15">
      <c r="A333" s="237">
        <v>1100</v>
      </c>
      <c r="B333" s="78" t="s">
        <v>167</v>
      </c>
      <c r="C333" s="7">
        <f>12311754+409816+1150166+14062+1782532</f>
        <v>15668330</v>
      </c>
      <c r="D333" s="238">
        <v>976018</v>
      </c>
      <c r="E333" s="7">
        <v>435695</v>
      </c>
      <c r="F333" s="7">
        <v>193522</v>
      </c>
      <c r="G333" s="7">
        <v>70204</v>
      </c>
      <c r="H333" s="239">
        <f>1040824+7730</f>
        <v>1048554</v>
      </c>
      <c r="I333" s="7">
        <v>127630</v>
      </c>
      <c r="J333" s="7">
        <f>489203+7446</f>
        <v>496649</v>
      </c>
      <c r="K333" s="7">
        <f>1576981+928</f>
        <v>1577909</v>
      </c>
      <c r="L333" s="7">
        <v>127381</v>
      </c>
      <c r="M333" s="7">
        <v>149112</v>
      </c>
      <c r="N333" s="7">
        <v>132007</v>
      </c>
      <c r="O333" s="240">
        <f>630086+10711</f>
        <v>640797</v>
      </c>
      <c r="P333" s="7">
        <v>3205540</v>
      </c>
      <c r="Q333" s="1">
        <v>6247626</v>
      </c>
      <c r="R333" s="241">
        <v>6233169</v>
      </c>
      <c r="S333" s="242">
        <v>81407</v>
      </c>
      <c r="T333" s="243">
        <f>SUM(C333:S333)</f>
        <v>37411550</v>
      </c>
    </row>
    <row r="334" spans="1:20" ht="45">
      <c r="A334" s="85">
        <v>1200</v>
      </c>
      <c r="B334" s="49" t="s">
        <v>253</v>
      </c>
      <c r="C334" s="1">
        <f>3566909+96680+277429+3317+422537</f>
        <v>4366872</v>
      </c>
      <c r="D334" s="244">
        <v>230244</v>
      </c>
      <c r="E334" s="1">
        <v>121693</v>
      </c>
      <c r="F334" s="1">
        <v>60677</v>
      </c>
      <c r="G334" s="1">
        <v>20766</v>
      </c>
      <c r="H334" s="91">
        <f>299093+1824</f>
        <v>300917</v>
      </c>
      <c r="I334" s="1">
        <v>43256</v>
      </c>
      <c r="J334" s="1">
        <f>142098+1756</f>
        <v>143854</v>
      </c>
      <c r="K334" s="1">
        <f>445718+219</f>
        <v>445937</v>
      </c>
      <c r="L334" s="1">
        <v>38008</v>
      </c>
      <c r="M334" s="1">
        <v>43777</v>
      </c>
      <c r="N334" s="1">
        <v>39871</v>
      </c>
      <c r="O334" s="52">
        <f>186774+2527</f>
        <v>189301</v>
      </c>
      <c r="P334" s="1">
        <v>851302</v>
      </c>
      <c r="Q334" s="1">
        <v>1784713</v>
      </c>
      <c r="R334" s="1">
        <v>1758303</v>
      </c>
      <c r="S334" s="245">
        <v>24273</v>
      </c>
      <c r="T334" s="135">
        <f>SUM(C334:S334)</f>
        <v>10463764</v>
      </c>
    </row>
    <row r="335" spans="1:20" ht="15">
      <c r="A335" s="85">
        <v>2000</v>
      </c>
      <c r="B335" s="49" t="s">
        <v>153</v>
      </c>
      <c r="C335" s="1">
        <f aca="true" t="shared" si="43" ref="C335:S335">SUM(C336:C340)</f>
        <v>7361140</v>
      </c>
      <c r="D335" s="1">
        <f t="shared" si="43"/>
        <v>1521703</v>
      </c>
      <c r="E335" s="1">
        <f t="shared" si="43"/>
        <v>248423</v>
      </c>
      <c r="F335" s="1">
        <f t="shared" si="43"/>
        <v>202033</v>
      </c>
      <c r="G335" s="1">
        <f t="shared" si="43"/>
        <v>274475</v>
      </c>
      <c r="H335" s="4">
        <f t="shared" si="43"/>
        <v>531920</v>
      </c>
      <c r="I335" s="1">
        <f t="shared" si="43"/>
        <v>260105</v>
      </c>
      <c r="J335" s="1">
        <f t="shared" si="43"/>
        <v>364916</v>
      </c>
      <c r="K335" s="1">
        <f t="shared" si="43"/>
        <v>866871</v>
      </c>
      <c r="L335" s="1">
        <f t="shared" si="43"/>
        <v>208972</v>
      </c>
      <c r="M335" s="1">
        <f t="shared" si="43"/>
        <v>113795</v>
      </c>
      <c r="N335" s="1">
        <f t="shared" si="43"/>
        <v>154143</v>
      </c>
      <c r="O335" s="1">
        <f t="shared" si="43"/>
        <v>192679</v>
      </c>
      <c r="P335" s="1">
        <f t="shared" si="43"/>
        <v>2131090</v>
      </c>
      <c r="Q335" s="1">
        <f t="shared" si="43"/>
        <v>3213205</v>
      </c>
      <c r="R335" s="1">
        <f t="shared" si="43"/>
        <v>2898993</v>
      </c>
      <c r="S335" s="245">
        <f t="shared" si="43"/>
        <v>97639</v>
      </c>
      <c r="T335" s="135">
        <f>SUM(C335:S335)</f>
        <v>20642102</v>
      </c>
    </row>
    <row r="336" spans="1:20" ht="30">
      <c r="A336" s="85">
        <v>2100</v>
      </c>
      <c r="B336" s="49" t="s">
        <v>280</v>
      </c>
      <c r="C336" s="1">
        <f>164403-8000-4133</f>
        <v>152270</v>
      </c>
      <c r="D336" s="1">
        <v>2500</v>
      </c>
      <c r="E336" s="1">
        <v>6243</v>
      </c>
      <c r="F336" s="1"/>
      <c r="G336" s="1"/>
      <c r="H336" s="4">
        <v>680</v>
      </c>
      <c r="I336" s="1">
        <v>30</v>
      </c>
      <c r="J336" s="1">
        <v>70</v>
      </c>
      <c r="K336" s="1">
        <f>1250+3000</f>
        <v>4250</v>
      </c>
      <c r="L336" s="1"/>
      <c r="M336" s="1">
        <v>30</v>
      </c>
      <c r="N336" s="1">
        <v>600</v>
      </c>
      <c r="O336" s="52">
        <v>250</v>
      </c>
      <c r="P336" s="1">
        <v>4306</v>
      </c>
      <c r="Q336" s="1">
        <v>83118</v>
      </c>
      <c r="R336" s="1">
        <v>29460</v>
      </c>
      <c r="S336" s="245">
        <v>650</v>
      </c>
      <c r="T336" s="135">
        <f>SUM(C336:S336)</f>
        <v>284457</v>
      </c>
    </row>
    <row r="337" spans="1:20" ht="15">
      <c r="A337" s="85">
        <v>2200</v>
      </c>
      <c r="B337" s="49" t="s">
        <v>154</v>
      </c>
      <c r="C337" s="1">
        <f>5961426-6000-620604+11000+20000+32227+213461-3627</f>
        <v>5607883</v>
      </c>
      <c r="D337" s="1">
        <v>1043530</v>
      </c>
      <c r="E337" s="1">
        <v>203981</v>
      </c>
      <c r="F337" s="1">
        <v>163396</v>
      </c>
      <c r="G337" s="1">
        <f>248498+8300-2325</f>
        <v>254473</v>
      </c>
      <c r="H337" s="4">
        <v>289551</v>
      </c>
      <c r="I337" s="1">
        <v>216137</v>
      </c>
      <c r="J337" s="1">
        <v>259271</v>
      </c>
      <c r="K337" s="1">
        <f>548995-3000</f>
        <v>545995</v>
      </c>
      <c r="L337" s="1">
        <f>151563-46-1367</f>
        <v>150150</v>
      </c>
      <c r="M337" s="1">
        <v>84898</v>
      </c>
      <c r="N337" s="1">
        <v>122478</v>
      </c>
      <c r="O337" s="52">
        <v>85294</v>
      </c>
      <c r="P337" s="1">
        <v>1451561</v>
      </c>
      <c r="Q337" s="1">
        <v>2112193</v>
      </c>
      <c r="R337" s="1">
        <v>2155485</v>
      </c>
      <c r="S337" s="245">
        <v>81241</v>
      </c>
      <c r="T337" s="135">
        <f aca="true" t="shared" si="44" ref="T337:T351">SUM(C337:S337)</f>
        <v>14827517</v>
      </c>
    </row>
    <row r="338" spans="1:20" ht="30">
      <c r="A338" s="85">
        <v>2300</v>
      </c>
      <c r="B338" s="49" t="s">
        <v>155</v>
      </c>
      <c r="C338" s="1">
        <f>1217460+134590+29000+137597-24950</f>
        <v>1493697</v>
      </c>
      <c r="D338" s="1">
        <v>207739</v>
      </c>
      <c r="E338" s="1">
        <v>36999</v>
      </c>
      <c r="F338" s="1">
        <v>36337</v>
      </c>
      <c r="G338" s="1">
        <f>8742+800</f>
        <v>9542</v>
      </c>
      <c r="H338" s="4">
        <v>239489</v>
      </c>
      <c r="I338" s="1">
        <v>37386</v>
      </c>
      <c r="J338" s="1">
        <v>100545</v>
      </c>
      <c r="K338" s="1">
        <v>301779</v>
      </c>
      <c r="L338" s="1">
        <v>55848</v>
      </c>
      <c r="M338" s="1">
        <v>26747</v>
      </c>
      <c r="N338" s="1">
        <v>29765</v>
      </c>
      <c r="O338" s="52">
        <v>99405</v>
      </c>
      <c r="P338" s="1">
        <v>650563</v>
      </c>
      <c r="Q338" s="1">
        <v>984609</v>
      </c>
      <c r="R338" s="1">
        <v>693545</v>
      </c>
      <c r="S338" s="245">
        <f>17333-1835</f>
        <v>15498</v>
      </c>
      <c r="T338" s="135">
        <f t="shared" si="44"/>
        <v>5019493</v>
      </c>
    </row>
    <row r="339" spans="1:20" ht="15">
      <c r="A339" s="85">
        <v>2400</v>
      </c>
      <c r="B339" s="49" t="s">
        <v>156</v>
      </c>
      <c r="C339" s="1">
        <v>5420</v>
      </c>
      <c r="D339" s="1"/>
      <c r="E339" s="1"/>
      <c r="F339" s="1"/>
      <c r="G339" s="1"/>
      <c r="H339" s="4">
        <v>1900</v>
      </c>
      <c r="I339" s="1">
        <v>460</v>
      </c>
      <c r="J339" s="1">
        <v>500</v>
      </c>
      <c r="K339" s="1">
        <v>1130</v>
      </c>
      <c r="L339" s="1">
        <v>1280</v>
      </c>
      <c r="M339" s="1">
        <v>850</v>
      </c>
      <c r="N339" s="1">
        <v>800</v>
      </c>
      <c r="O339" s="52">
        <v>1730</v>
      </c>
      <c r="P339" s="1">
        <v>3430</v>
      </c>
      <c r="Q339" s="1">
        <v>6173</v>
      </c>
      <c r="R339" s="1">
        <v>3860</v>
      </c>
      <c r="S339" s="245">
        <v>0</v>
      </c>
      <c r="T339" s="135">
        <f t="shared" si="44"/>
        <v>27533</v>
      </c>
    </row>
    <row r="340" spans="1:20" ht="15">
      <c r="A340" s="85">
        <v>2500</v>
      </c>
      <c r="B340" s="49" t="s">
        <v>157</v>
      </c>
      <c r="C340" s="1">
        <f>62857+39013</f>
        <v>101870</v>
      </c>
      <c r="D340" s="1">
        <v>267934</v>
      </c>
      <c r="E340" s="1">
        <f>5000-3800</f>
        <v>1200</v>
      </c>
      <c r="F340" s="1">
        <v>2300</v>
      </c>
      <c r="G340" s="1">
        <f>10360+100</f>
        <v>10460</v>
      </c>
      <c r="H340" s="4">
        <v>300</v>
      </c>
      <c r="I340" s="1">
        <v>6092</v>
      </c>
      <c r="J340" s="1">
        <v>4530</v>
      </c>
      <c r="K340" s="1">
        <v>13717</v>
      </c>
      <c r="L340" s="1">
        <v>1694</v>
      </c>
      <c r="M340" s="1">
        <v>1270</v>
      </c>
      <c r="N340" s="1">
        <v>500</v>
      </c>
      <c r="O340" s="52">
        <v>6000</v>
      </c>
      <c r="P340" s="1">
        <v>21230</v>
      </c>
      <c r="Q340" s="1">
        <v>27112</v>
      </c>
      <c r="R340" s="1">
        <v>16643</v>
      </c>
      <c r="S340" s="245">
        <v>250</v>
      </c>
      <c r="T340" s="135">
        <f t="shared" si="44"/>
        <v>483102</v>
      </c>
    </row>
    <row r="341" spans="1:20" ht="30">
      <c r="A341" s="85">
        <v>3200</v>
      </c>
      <c r="B341" s="49" t="s">
        <v>254</v>
      </c>
      <c r="C341" s="1">
        <f>2342895+6000+100862+57872+3627</f>
        <v>2511256</v>
      </c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52"/>
      <c r="P341" s="1">
        <v>55435</v>
      </c>
      <c r="Q341" s="1">
        <v>404521</v>
      </c>
      <c r="R341" s="1">
        <v>1087293</v>
      </c>
      <c r="S341" s="245"/>
      <c r="T341" s="135">
        <f t="shared" si="44"/>
        <v>4058505</v>
      </c>
    </row>
    <row r="342" spans="1:20" ht="15">
      <c r="A342" s="85">
        <v>4300</v>
      </c>
      <c r="B342" s="49" t="s">
        <v>158</v>
      </c>
      <c r="C342" s="1">
        <f>80000+22804</f>
        <v>102804</v>
      </c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52"/>
      <c r="P342" s="1">
        <v>1950</v>
      </c>
      <c r="Q342" s="1">
        <v>13699</v>
      </c>
      <c r="R342" s="1">
        <v>1735</v>
      </c>
      <c r="S342" s="245"/>
      <c r="T342" s="135">
        <f t="shared" si="44"/>
        <v>120188</v>
      </c>
    </row>
    <row r="343" spans="1:20" ht="15">
      <c r="A343" s="85">
        <v>5100</v>
      </c>
      <c r="B343" s="49" t="s">
        <v>121</v>
      </c>
      <c r="C343" s="1">
        <f>35480+826+10079</f>
        <v>46385</v>
      </c>
      <c r="D343" s="1"/>
      <c r="E343" s="1">
        <f>5168-5168</f>
        <v>0</v>
      </c>
      <c r="F343" s="1">
        <v>5168</v>
      </c>
      <c r="G343" s="1"/>
      <c r="H343" s="4"/>
      <c r="I343" s="1"/>
      <c r="J343" s="1">
        <v>200</v>
      </c>
      <c r="K343" s="1"/>
      <c r="L343" s="1"/>
      <c r="M343" s="1">
        <v>215</v>
      </c>
      <c r="N343" s="1"/>
      <c r="O343" s="52"/>
      <c r="P343" s="1">
        <v>3898</v>
      </c>
      <c r="Q343" s="1">
        <v>3270</v>
      </c>
      <c r="R343" s="1">
        <v>36259</v>
      </c>
      <c r="S343" s="245">
        <v>200</v>
      </c>
      <c r="T343" s="135">
        <f t="shared" si="44"/>
        <v>95595</v>
      </c>
    </row>
    <row r="344" spans="1:20" ht="15">
      <c r="A344" s="85">
        <v>5200</v>
      </c>
      <c r="B344" s="49" t="s">
        <v>159</v>
      </c>
      <c r="C344" s="1">
        <f>29668013-667653+900890+396452+24950</f>
        <v>30322652</v>
      </c>
      <c r="D344" s="1">
        <v>901313</v>
      </c>
      <c r="E344" s="1">
        <f>99009-54216</f>
        <v>44793</v>
      </c>
      <c r="F344" s="1">
        <v>78542</v>
      </c>
      <c r="G344" s="1">
        <f>29172+1525</f>
        <v>30697</v>
      </c>
      <c r="H344" s="4">
        <f>33991+16673</f>
        <v>50664</v>
      </c>
      <c r="I344" s="1">
        <v>7591</v>
      </c>
      <c r="J344" s="1">
        <v>11544</v>
      </c>
      <c r="K344" s="1">
        <v>314048</v>
      </c>
      <c r="L344" s="1">
        <f>7969</f>
        <v>7969</v>
      </c>
      <c r="M344" s="1">
        <v>67503</v>
      </c>
      <c r="N344" s="1">
        <v>19548</v>
      </c>
      <c r="O344" s="52">
        <v>33900</v>
      </c>
      <c r="P344" s="1">
        <v>996383</v>
      </c>
      <c r="Q344" s="1">
        <v>5713893</v>
      </c>
      <c r="R344" s="1">
        <v>1763215</v>
      </c>
      <c r="S344" s="245">
        <v>121319</v>
      </c>
      <c r="T344" s="135">
        <f t="shared" si="44"/>
        <v>40485574</v>
      </c>
    </row>
    <row r="345" spans="1:20" ht="15">
      <c r="A345" s="85">
        <v>6200</v>
      </c>
      <c r="B345" s="49" t="s">
        <v>160</v>
      </c>
      <c r="C345" s="1">
        <f>554293+16690+17205</f>
        <v>588188</v>
      </c>
      <c r="D345" s="1"/>
      <c r="E345" s="1"/>
      <c r="F345" s="1"/>
      <c r="G345" s="1"/>
      <c r="H345" s="4">
        <v>2390</v>
      </c>
      <c r="I345" s="1">
        <v>2390</v>
      </c>
      <c r="J345" s="1">
        <v>2390</v>
      </c>
      <c r="K345" s="1">
        <v>2390</v>
      </c>
      <c r="L345" s="1">
        <v>2400</v>
      </c>
      <c r="M345" s="1">
        <v>2400</v>
      </c>
      <c r="N345" s="1">
        <v>2400</v>
      </c>
      <c r="O345" s="52">
        <v>2390</v>
      </c>
      <c r="P345" s="1">
        <v>44628</v>
      </c>
      <c r="Q345" s="1">
        <v>216742</v>
      </c>
      <c r="R345" s="1">
        <v>61682</v>
      </c>
      <c r="S345" s="245"/>
      <c r="T345" s="135">
        <f t="shared" si="44"/>
        <v>930390</v>
      </c>
    </row>
    <row r="346" spans="1:20" ht="15">
      <c r="A346" s="85">
        <v>6300</v>
      </c>
      <c r="B346" s="49" t="s">
        <v>161</v>
      </c>
      <c r="C346" s="1">
        <f>240112+56000-15000</f>
        <v>281112</v>
      </c>
      <c r="D346" s="1"/>
      <c r="E346" s="1"/>
      <c r="F346" s="1"/>
      <c r="G346" s="1"/>
      <c r="H346" s="4"/>
      <c r="I346" s="1">
        <v>901</v>
      </c>
      <c r="J346" s="1">
        <f>600-600</f>
        <v>0</v>
      </c>
      <c r="K346" s="1"/>
      <c r="L346" s="1"/>
      <c r="M346" s="1"/>
      <c r="N346" s="1"/>
      <c r="O346" s="52"/>
      <c r="P346" s="1">
        <v>21481</v>
      </c>
      <c r="Q346" s="1">
        <v>42045</v>
      </c>
      <c r="R346" s="1">
        <v>60000</v>
      </c>
      <c r="S346" s="245"/>
      <c r="T346" s="135">
        <f t="shared" si="44"/>
        <v>405539</v>
      </c>
    </row>
    <row r="347" spans="1:20" ht="30">
      <c r="A347" s="85">
        <v>6400</v>
      </c>
      <c r="B347" s="49" t="s">
        <v>255</v>
      </c>
      <c r="C347" s="1">
        <f>733189-57982+88482</f>
        <v>763689</v>
      </c>
      <c r="D347" s="1"/>
      <c r="E347" s="1"/>
      <c r="F347" s="1"/>
      <c r="G347" s="1"/>
      <c r="H347" s="4">
        <v>330</v>
      </c>
      <c r="I347" s="1"/>
      <c r="J347" s="1">
        <v>210</v>
      </c>
      <c r="K347" s="1">
        <v>760</v>
      </c>
      <c r="L347" s="1"/>
      <c r="M347" s="1"/>
      <c r="N347" s="1"/>
      <c r="O347" s="52">
        <v>120</v>
      </c>
      <c r="P347" s="1">
        <v>149664</v>
      </c>
      <c r="Q347" s="1">
        <v>316360</v>
      </c>
      <c r="R347" s="1">
        <v>250139</v>
      </c>
      <c r="S347" s="245"/>
      <c r="T347" s="135">
        <f t="shared" si="44"/>
        <v>1481272</v>
      </c>
    </row>
    <row r="348" spans="1:20" ht="30">
      <c r="A348" s="85">
        <v>6500</v>
      </c>
      <c r="B348" s="49" t="s">
        <v>281</v>
      </c>
      <c r="C348" s="1">
        <v>500</v>
      </c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52"/>
      <c r="P348" s="1">
        <v>3912</v>
      </c>
      <c r="Q348" s="1"/>
      <c r="R348" s="1"/>
      <c r="S348" s="245"/>
      <c r="T348" s="135">
        <f t="shared" si="44"/>
        <v>4412</v>
      </c>
    </row>
    <row r="349" spans="1:20" ht="15">
      <c r="A349" s="85">
        <v>7200</v>
      </c>
      <c r="B349" s="49" t="s">
        <v>256</v>
      </c>
      <c r="C349" s="1">
        <f>895506+2034-50000+222508</f>
        <v>1070048</v>
      </c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52"/>
      <c r="P349" s="1">
        <v>166428</v>
      </c>
      <c r="Q349" s="1">
        <v>214886</v>
      </c>
      <c r="R349" s="1">
        <v>746981</v>
      </c>
      <c r="S349" s="245"/>
      <c r="T349" s="135">
        <f t="shared" si="44"/>
        <v>2198343</v>
      </c>
    </row>
    <row r="350" spans="1:20" ht="30">
      <c r="A350" s="85">
        <v>7400</v>
      </c>
      <c r="B350" s="49" t="s">
        <v>672</v>
      </c>
      <c r="C350" s="1">
        <v>488</v>
      </c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52"/>
      <c r="P350" s="1"/>
      <c r="Q350" s="1"/>
      <c r="R350" s="1"/>
      <c r="S350" s="52"/>
      <c r="T350" s="135">
        <f t="shared" si="44"/>
        <v>488</v>
      </c>
    </row>
    <row r="351" spans="1:20" ht="15.75" thickBot="1">
      <c r="A351" s="85">
        <v>8100</v>
      </c>
      <c r="B351" s="1" t="s">
        <v>293</v>
      </c>
      <c r="C351" s="1">
        <v>12</v>
      </c>
      <c r="D351" s="1"/>
      <c r="E351" s="1"/>
      <c r="F351" s="1"/>
      <c r="G351" s="1"/>
      <c r="H351" s="4"/>
      <c r="I351" s="1"/>
      <c r="J351" s="1"/>
      <c r="K351" s="1"/>
      <c r="L351" s="1"/>
      <c r="M351" s="1"/>
      <c r="N351" s="1"/>
      <c r="O351" s="52"/>
      <c r="P351" s="1"/>
      <c r="Q351" s="1"/>
      <c r="R351" s="1"/>
      <c r="S351" s="52"/>
      <c r="T351" s="135">
        <f t="shared" si="44"/>
        <v>12</v>
      </c>
    </row>
    <row r="352" spans="1:20" ht="15.75" thickBot="1">
      <c r="A352" s="232"/>
      <c r="B352" s="246" t="s">
        <v>162</v>
      </c>
      <c r="C352" s="247">
        <f aca="true" t="shared" si="45" ref="C352:S352">SUM(C333:C335,C341:C351)</f>
        <v>63083476</v>
      </c>
      <c r="D352" s="247">
        <f t="shared" si="45"/>
        <v>3629278</v>
      </c>
      <c r="E352" s="247">
        <f t="shared" si="45"/>
        <v>850604</v>
      </c>
      <c r="F352" s="247">
        <f t="shared" si="45"/>
        <v>539942</v>
      </c>
      <c r="G352" s="247">
        <f t="shared" si="45"/>
        <v>396142</v>
      </c>
      <c r="H352" s="247">
        <f t="shared" si="45"/>
        <v>1934775</v>
      </c>
      <c r="I352" s="247">
        <f t="shared" si="45"/>
        <v>441873</v>
      </c>
      <c r="J352" s="247">
        <f t="shared" si="45"/>
        <v>1019763</v>
      </c>
      <c r="K352" s="247">
        <f t="shared" si="45"/>
        <v>3207915</v>
      </c>
      <c r="L352" s="247">
        <f t="shared" si="45"/>
        <v>384730</v>
      </c>
      <c r="M352" s="247">
        <f t="shared" si="45"/>
        <v>376802</v>
      </c>
      <c r="N352" s="247">
        <f t="shared" si="45"/>
        <v>347969</v>
      </c>
      <c r="O352" s="247">
        <f t="shared" si="45"/>
        <v>1059187</v>
      </c>
      <c r="P352" s="247">
        <f t="shared" si="45"/>
        <v>7631711</v>
      </c>
      <c r="Q352" s="247">
        <f t="shared" si="45"/>
        <v>18170960</v>
      </c>
      <c r="R352" s="247">
        <f t="shared" si="45"/>
        <v>14897769</v>
      </c>
      <c r="S352" s="247">
        <f t="shared" si="45"/>
        <v>324838</v>
      </c>
      <c r="T352" s="42">
        <f>SUM(C352:S352)</f>
        <v>118297734</v>
      </c>
    </row>
    <row r="353" spans="2:7" ht="15">
      <c r="B353" s="248"/>
      <c r="C353" s="27"/>
      <c r="D353" s="94"/>
      <c r="E353" s="108"/>
      <c r="F353" s="108"/>
      <c r="G353" s="108"/>
    </row>
    <row r="354" spans="2:20" ht="15">
      <c r="B354" s="248"/>
      <c r="C354" s="27"/>
      <c r="D354" s="94"/>
      <c r="E354" s="108"/>
      <c r="F354" s="108"/>
      <c r="G354" s="108"/>
      <c r="T354" s="114"/>
    </row>
    <row r="355" spans="2:7" ht="15">
      <c r="B355" s="249" t="s">
        <v>268</v>
      </c>
      <c r="C355" s="27"/>
      <c r="D355" s="94"/>
      <c r="E355" s="108" t="s">
        <v>21</v>
      </c>
      <c r="F355" s="108"/>
      <c r="G355" s="108"/>
    </row>
    <row r="360" ht="15">
      <c r="B360" s="249"/>
    </row>
  </sheetData>
  <sheetProtection/>
  <mergeCells count="2">
    <mergeCell ref="A5:D5"/>
    <mergeCell ref="A331:D331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zoomScalePageLayoutView="0" workbookViewId="0" topLeftCell="A1">
      <pane xSplit="1" topLeftCell="B1" activePane="topRight" state="frozen"/>
      <selection pane="topLeft" activeCell="A106" sqref="A106"/>
      <selection pane="topRight" activeCell="B26" sqref="B26"/>
    </sheetView>
  </sheetViews>
  <sheetFormatPr defaultColWidth="9.140625" defaultRowHeight="12.75"/>
  <cols>
    <col min="1" max="1" width="16.28125" style="251" customWidth="1"/>
    <col min="2" max="2" width="11.28125" style="251" customWidth="1"/>
    <col min="3" max="3" width="9.8515625" style="251" customWidth="1"/>
    <col min="4" max="4" width="10.8515625" style="251" customWidth="1"/>
    <col min="5" max="5" width="10.57421875" style="251" customWidth="1"/>
    <col min="6" max="6" width="9.7109375" style="251" customWidth="1"/>
    <col min="7" max="7" width="10.28125" style="251" customWidth="1"/>
    <col min="8" max="8" width="9.7109375" style="251" customWidth="1"/>
    <col min="9" max="9" width="10.28125" style="251" customWidth="1"/>
    <col min="10" max="10" width="9.421875" style="251" customWidth="1"/>
    <col min="11" max="11" width="10.00390625" style="251" customWidth="1"/>
    <col min="12" max="12" width="7.7109375" style="251" customWidth="1"/>
    <col min="13" max="13" width="8.140625" style="251" customWidth="1"/>
    <col min="14" max="14" width="9.00390625" style="251" customWidth="1"/>
    <col min="15" max="15" width="7.7109375" style="251" customWidth="1"/>
    <col min="16" max="16" width="9.421875" style="251" customWidth="1"/>
    <col min="17" max="17" width="11.00390625" style="251" customWidth="1"/>
    <col min="18" max="18" width="8.7109375" style="251" customWidth="1"/>
    <col min="19" max="19" width="10.57421875" style="251" customWidth="1"/>
    <col min="20" max="20" width="9.140625" style="251" customWidth="1"/>
    <col min="21" max="21" width="7.140625" style="251" customWidth="1"/>
    <col min="22" max="22" width="9.421875" style="251" customWidth="1"/>
    <col min="23" max="23" width="8.140625" style="251" customWidth="1"/>
    <col min="24" max="24" width="8.421875" style="251" customWidth="1"/>
    <col min="25" max="25" width="8.28125" style="251" customWidth="1"/>
    <col min="26" max="26" width="7.28125" style="251" customWidth="1"/>
    <col min="27" max="27" width="9.140625" style="251" customWidth="1"/>
    <col min="28" max="28" width="9.28125" style="251" customWidth="1"/>
    <col min="29" max="29" width="10.00390625" style="251" customWidth="1"/>
    <col min="30" max="31" width="11.7109375" style="251" customWidth="1"/>
    <col min="32" max="32" width="9.140625" style="251" customWidth="1"/>
    <col min="33" max="33" width="11.00390625" style="251" customWidth="1"/>
    <col min="34" max="16384" width="9.140625" style="251" customWidth="1"/>
  </cols>
  <sheetData>
    <row r="1" spans="1:31" ht="16.5" thickBot="1">
      <c r="A1" s="267" t="s">
        <v>707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3" ht="90" thickBot="1">
      <c r="A2" s="269"/>
      <c r="B2" s="270" t="s">
        <v>682</v>
      </c>
      <c r="C2" s="271" t="s">
        <v>697</v>
      </c>
      <c r="D2" s="270" t="s">
        <v>708</v>
      </c>
      <c r="E2" s="270" t="s">
        <v>709</v>
      </c>
      <c r="F2" s="270" t="s">
        <v>710</v>
      </c>
      <c r="G2" s="270" t="s">
        <v>711</v>
      </c>
      <c r="H2" s="270" t="s">
        <v>696</v>
      </c>
      <c r="I2" s="272" t="s">
        <v>676</v>
      </c>
      <c r="J2" s="272" t="s">
        <v>712</v>
      </c>
      <c r="K2" s="270" t="s">
        <v>683</v>
      </c>
      <c r="L2" s="270" t="s">
        <v>684</v>
      </c>
      <c r="M2" s="270" t="s">
        <v>685</v>
      </c>
      <c r="N2" s="270" t="s">
        <v>686</v>
      </c>
      <c r="O2" s="270" t="s">
        <v>687</v>
      </c>
      <c r="P2" s="270" t="s">
        <v>688</v>
      </c>
      <c r="Q2" s="270" t="s">
        <v>713</v>
      </c>
      <c r="R2" s="273" t="s">
        <v>698</v>
      </c>
      <c r="S2" s="274" t="s">
        <v>689</v>
      </c>
      <c r="T2" s="274" t="s">
        <v>690</v>
      </c>
      <c r="U2" s="274" t="s">
        <v>714</v>
      </c>
      <c r="V2" s="274" t="s">
        <v>691</v>
      </c>
      <c r="W2" s="275" t="s">
        <v>699</v>
      </c>
      <c r="X2" s="275" t="s">
        <v>692</v>
      </c>
      <c r="Y2" s="276" t="s">
        <v>715</v>
      </c>
      <c r="Z2" s="276" t="s">
        <v>716</v>
      </c>
      <c r="AA2" s="276" t="s">
        <v>700</v>
      </c>
      <c r="AB2" s="277" t="s">
        <v>701</v>
      </c>
      <c r="AC2" s="297" t="s">
        <v>0</v>
      </c>
      <c r="AD2" s="297" t="s">
        <v>662</v>
      </c>
      <c r="AE2" s="297" t="s">
        <v>677</v>
      </c>
      <c r="AF2" s="297" t="s">
        <v>345</v>
      </c>
      <c r="AG2" s="278" t="s">
        <v>168</v>
      </c>
    </row>
    <row r="3" spans="1:33" ht="15">
      <c r="A3" s="252" t="s">
        <v>702</v>
      </c>
      <c r="B3" s="265"/>
      <c r="C3" s="253"/>
      <c r="D3" s="253"/>
      <c r="E3" s="253"/>
      <c r="F3" s="253"/>
      <c r="G3" s="253"/>
      <c r="H3" s="253"/>
      <c r="I3" s="253"/>
      <c r="J3" s="253"/>
      <c r="K3" s="279"/>
      <c r="L3" s="253"/>
      <c r="M3" s="253"/>
      <c r="N3" s="253"/>
      <c r="O3" s="253"/>
      <c r="P3" s="280"/>
      <c r="Q3" s="281"/>
      <c r="R3" s="281"/>
      <c r="S3" s="282"/>
      <c r="T3" s="282"/>
      <c r="U3" s="281"/>
      <c r="V3" s="281"/>
      <c r="W3" s="253"/>
      <c r="X3" s="279"/>
      <c r="Y3" s="279"/>
      <c r="Z3" s="281"/>
      <c r="AA3" s="281">
        <v>837623</v>
      </c>
      <c r="AB3" s="281"/>
      <c r="AC3" s="298"/>
      <c r="AD3" s="298"/>
      <c r="AE3" s="298"/>
      <c r="AF3" s="298"/>
      <c r="AG3" s="299">
        <f aca="true" t="shared" si="0" ref="AG3:AG17">SUM(B3,D3:AF3)</f>
        <v>837623</v>
      </c>
    </row>
    <row r="4" spans="1:33" ht="15">
      <c r="A4" s="252" t="s">
        <v>717</v>
      </c>
      <c r="B4" s="265">
        <f>1081958-12832-462851</f>
        <v>606275</v>
      </c>
      <c r="C4" s="253"/>
      <c r="D4" s="253"/>
      <c r="E4" s="253"/>
      <c r="F4" s="253"/>
      <c r="G4" s="253"/>
      <c r="H4" s="253">
        <v>12832</v>
      </c>
      <c r="I4" s="253"/>
      <c r="J4" s="253"/>
      <c r="K4" s="279"/>
      <c r="L4" s="253"/>
      <c r="M4" s="253"/>
      <c r="N4" s="253"/>
      <c r="O4" s="253"/>
      <c r="P4" s="280"/>
      <c r="Q4" s="281"/>
      <c r="R4" s="281"/>
      <c r="S4" s="282"/>
      <c r="T4" s="282"/>
      <c r="U4" s="281"/>
      <c r="V4" s="281"/>
      <c r="W4" s="253"/>
      <c r="X4" s="279"/>
      <c r="Y4" s="279"/>
      <c r="Z4" s="283"/>
      <c r="AA4" s="283"/>
      <c r="AB4" s="283"/>
      <c r="AC4" s="298"/>
      <c r="AD4" s="298">
        <v>893</v>
      </c>
      <c r="AE4" s="298"/>
      <c r="AF4" s="298"/>
      <c r="AG4" s="299">
        <f t="shared" si="0"/>
        <v>620000</v>
      </c>
    </row>
    <row r="5" spans="1:33" ht="15">
      <c r="A5" s="252" t="s">
        <v>703</v>
      </c>
      <c r="B5" s="265">
        <v>462851</v>
      </c>
      <c r="C5" s="253"/>
      <c r="D5" s="253"/>
      <c r="E5" s="253"/>
      <c r="F5" s="253"/>
      <c r="G5" s="253"/>
      <c r="H5" s="253"/>
      <c r="I5" s="253"/>
      <c r="J5" s="253"/>
      <c r="K5" s="279"/>
      <c r="L5" s="253"/>
      <c r="M5" s="253"/>
      <c r="N5" s="253"/>
      <c r="O5" s="253"/>
      <c r="P5" s="280"/>
      <c r="Q5" s="281"/>
      <c r="R5" s="281"/>
      <c r="S5" s="282"/>
      <c r="T5" s="282"/>
      <c r="U5" s="281"/>
      <c r="V5" s="281"/>
      <c r="W5" s="253"/>
      <c r="X5" s="279"/>
      <c r="Y5" s="279"/>
      <c r="Z5" s="283"/>
      <c r="AA5" s="283"/>
      <c r="AB5" s="283"/>
      <c r="AC5" s="298"/>
      <c r="AD5" s="298"/>
      <c r="AE5" s="298"/>
      <c r="AF5" s="298"/>
      <c r="AG5" s="299">
        <f t="shared" si="0"/>
        <v>462851</v>
      </c>
    </row>
    <row r="6" spans="1:33" ht="15">
      <c r="A6" s="254" t="s">
        <v>169</v>
      </c>
      <c r="B6" s="266">
        <f>119656*0.968+68208-1645-46-1367</f>
        <v>180977.008</v>
      </c>
      <c r="C6" s="255"/>
      <c r="D6" s="255"/>
      <c r="E6" s="255"/>
      <c r="F6" s="255"/>
      <c r="G6" s="255"/>
      <c r="H6" s="255"/>
      <c r="I6" s="255"/>
      <c r="J6" s="255"/>
      <c r="K6" s="15">
        <v>27703</v>
      </c>
      <c r="L6" s="255"/>
      <c r="M6" s="255"/>
      <c r="N6" s="255"/>
      <c r="O6" s="255"/>
      <c r="P6" s="255"/>
      <c r="Q6" s="283"/>
      <c r="R6" s="283"/>
      <c r="S6" s="284"/>
      <c r="T6" s="284"/>
      <c r="U6" s="283"/>
      <c r="V6" s="283"/>
      <c r="W6" s="283"/>
      <c r="X6" s="279">
        <v>524</v>
      </c>
      <c r="Y6" s="279"/>
      <c r="Z6" s="283"/>
      <c r="AA6" s="283"/>
      <c r="AB6" s="285">
        <v>2400</v>
      </c>
      <c r="AC6" s="300"/>
      <c r="AD6" s="300"/>
      <c r="AE6" s="300"/>
      <c r="AF6" s="300"/>
      <c r="AG6" s="299">
        <f t="shared" si="0"/>
        <v>211604.008</v>
      </c>
    </row>
    <row r="7" spans="1:33" ht="15">
      <c r="A7" s="286" t="s">
        <v>170</v>
      </c>
      <c r="B7" s="266">
        <f>460350*0.968-13356-289-5718+4-96+1612</f>
        <v>427775.8</v>
      </c>
      <c r="C7" s="257"/>
      <c r="D7" s="257">
        <f>3200*12+2300.5*4</f>
        <v>47602</v>
      </c>
      <c r="E7" s="257">
        <f>65493+31869</f>
        <v>97362</v>
      </c>
      <c r="F7" s="257">
        <f>5729+4142</f>
        <v>9871</v>
      </c>
      <c r="G7" s="257">
        <f>14048+7695</f>
        <v>21743</v>
      </c>
      <c r="H7" s="257">
        <v>2005</v>
      </c>
      <c r="I7" s="257">
        <v>2192</v>
      </c>
      <c r="J7" s="257">
        <f>3453-312</f>
        <v>3141</v>
      </c>
      <c r="K7" s="287">
        <f>45352+799+1302</f>
        <v>47453</v>
      </c>
      <c r="L7" s="257">
        <v>1190</v>
      </c>
      <c r="M7" s="257">
        <v>284</v>
      </c>
      <c r="N7" s="257">
        <f>343</f>
        <v>343</v>
      </c>
      <c r="O7" s="257">
        <v>82</v>
      </c>
      <c r="P7" s="257"/>
      <c r="Q7" s="284"/>
      <c r="R7" s="284"/>
      <c r="S7" s="284">
        <v>2656</v>
      </c>
      <c r="T7" s="284">
        <v>2656</v>
      </c>
      <c r="U7" s="284">
        <v>6600</v>
      </c>
      <c r="V7" s="284">
        <f>1000+3000-1228</f>
        <v>2772</v>
      </c>
      <c r="W7" s="284"/>
      <c r="X7" s="288">
        <v>789</v>
      </c>
      <c r="Y7" s="288"/>
      <c r="Z7" s="284"/>
      <c r="AA7" s="284"/>
      <c r="AB7" s="284">
        <v>2390</v>
      </c>
      <c r="AC7" s="301"/>
      <c r="AD7" s="301"/>
      <c r="AE7" s="301"/>
      <c r="AF7" s="301"/>
      <c r="AG7" s="299">
        <f t="shared" si="0"/>
        <v>678906.8</v>
      </c>
    </row>
    <row r="8" spans="1:33" ht="15">
      <c r="A8" s="286" t="s">
        <v>171</v>
      </c>
      <c r="B8" s="266">
        <f>234149*0.968-8645-139-4580-702</f>
        <v>212590.232</v>
      </c>
      <c r="C8" s="257"/>
      <c r="D8" s="257"/>
      <c r="E8" s="257"/>
      <c r="F8" s="257"/>
      <c r="G8" s="257"/>
      <c r="H8" s="257">
        <v>2005</v>
      </c>
      <c r="I8" s="257"/>
      <c r="J8" s="257"/>
      <c r="K8" s="287">
        <f>35247-799-567</f>
        <v>33881</v>
      </c>
      <c r="L8" s="257"/>
      <c r="M8" s="257"/>
      <c r="N8" s="257"/>
      <c r="O8" s="257"/>
      <c r="P8" s="257"/>
      <c r="Q8" s="257"/>
      <c r="R8" s="257"/>
      <c r="S8" s="284"/>
      <c r="T8" s="284"/>
      <c r="U8" s="284"/>
      <c r="V8" s="284">
        <f>2000-1099</f>
        <v>901</v>
      </c>
      <c r="W8" s="257"/>
      <c r="X8" s="288">
        <v>2659</v>
      </c>
      <c r="Y8" s="288"/>
      <c r="Z8" s="284"/>
      <c r="AA8" s="284"/>
      <c r="AB8" s="284">
        <v>2390</v>
      </c>
      <c r="AC8" s="301"/>
      <c r="AD8" s="301"/>
      <c r="AE8" s="301"/>
      <c r="AF8" s="301"/>
      <c r="AG8" s="299">
        <f t="shared" si="0"/>
        <v>254426.232</v>
      </c>
    </row>
    <row r="9" spans="1:33" ht="15">
      <c r="A9" s="286" t="s">
        <v>172</v>
      </c>
      <c r="B9" s="266">
        <f>(1194859-54771-10645)*0.968-26044-71-4253+2300+11+1843+853</f>
        <v>1067939.824</v>
      </c>
      <c r="C9" s="257"/>
      <c r="D9" s="257">
        <f>16145+838</f>
        <v>16983</v>
      </c>
      <c r="E9" s="257">
        <f>237186+141106</f>
        <v>378292</v>
      </c>
      <c r="F9" s="257">
        <f>20262+9076</f>
        <v>29338</v>
      </c>
      <c r="G9" s="257">
        <f>33152+20621</f>
        <v>53773</v>
      </c>
      <c r="H9" s="257">
        <v>3609</v>
      </c>
      <c r="I9" s="257">
        <v>6495</v>
      </c>
      <c r="J9" s="257">
        <f>12595-6599</f>
        <v>5996</v>
      </c>
      <c r="K9" s="287">
        <f>69722-735</f>
        <v>68987</v>
      </c>
      <c r="L9" s="257">
        <v>3715</v>
      </c>
      <c r="M9" s="257">
        <v>886</v>
      </c>
      <c r="N9" s="257">
        <f>757</f>
        <v>757</v>
      </c>
      <c r="O9" s="257">
        <v>181</v>
      </c>
      <c r="P9" s="257"/>
      <c r="Q9" s="257">
        <v>6360</v>
      </c>
      <c r="R9" s="257"/>
      <c r="S9" s="284">
        <v>8811</v>
      </c>
      <c r="T9" s="284">
        <v>8811</v>
      </c>
      <c r="U9" s="284"/>
      <c r="V9" s="284">
        <f>13000+3000-6153</f>
        <v>9847</v>
      </c>
      <c r="W9" s="257">
        <f>109103+280+10286-52543</f>
        <v>67126</v>
      </c>
      <c r="X9" s="288">
        <v>9642</v>
      </c>
      <c r="Y9" s="288"/>
      <c r="Z9" s="284"/>
      <c r="AA9" s="284"/>
      <c r="AB9" s="284">
        <v>2390</v>
      </c>
      <c r="AC9" s="301"/>
      <c r="AD9" s="301">
        <v>1500</v>
      </c>
      <c r="AE9" s="301"/>
      <c r="AF9" s="301"/>
      <c r="AG9" s="299">
        <f t="shared" si="0"/>
        <v>1751438.824</v>
      </c>
    </row>
    <row r="10" spans="1:33" ht="15">
      <c r="A10" s="254" t="s">
        <v>174</v>
      </c>
      <c r="B10" s="266">
        <f>223802*0.968-8241-258-70</f>
        <v>208071.33599999998</v>
      </c>
      <c r="C10" s="255"/>
      <c r="D10" s="257"/>
      <c r="E10" s="255"/>
      <c r="F10" s="255"/>
      <c r="G10" s="255"/>
      <c r="H10" s="255">
        <v>802</v>
      </c>
      <c r="I10" s="255"/>
      <c r="J10" s="255"/>
      <c r="K10" s="255">
        <v>32238</v>
      </c>
      <c r="L10" s="255"/>
      <c r="M10" s="255"/>
      <c r="N10" s="255"/>
      <c r="O10" s="255"/>
      <c r="P10" s="255"/>
      <c r="Q10" s="255"/>
      <c r="R10" s="255"/>
      <c r="S10" s="284"/>
      <c r="T10" s="284"/>
      <c r="U10" s="284"/>
      <c r="V10" s="284"/>
      <c r="W10" s="283"/>
      <c r="X10" s="279">
        <v>796</v>
      </c>
      <c r="Y10" s="279"/>
      <c r="Z10" s="283"/>
      <c r="AA10" s="283"/>
      <c r="AB10" s="284">
        <v>2400</v>
      </c>
      <c r="AC10" s="301"/>
      <c r="AD10" s="301"/>
      <c r="AE10" s="301"/>
      <c r="AF10" s="301">
        <v>1495</v>
      </c>
      <c r="AG10" s="299">
        <f t="shared" si="0"/>
        <v>245802.33599999998</v>
      </c>
    </row>
    <row r="11" spans="1:33" ht="15">
      <c r="A11" s="254" t="s">
        <v>175</v>
      </c>
      <c r="B11" s="266">
        <f>(875496*0.968)-20990-5080-36-12149+2300+12+330+2172</f>
        <v>814039.128</v>
      </c>
      <c r="C11" s="255">
        <f>-15990-5000</f>
        <v>-20990</v>
      </c>
      <c r="D11" s="257">
        <f>6390*3+6787+2388.5*4</f>
        <v>35511</v>
      </c>
      <c r="E11" s="255">
        <f>302237+147053</f>
        <v>449290</v>
      </c>
      <c r="F11" s="255">
        <f>14312+7732</f>
        <v>22044</v>
      </c>
      <c r="G11" s="255">
        <f>35375+21583</f>
        <v>56958</v>
      </c>
      <c r="H11" s="255">
        <v>3609</v>
      </c>
      <c r="I11" s="255">
        <v>5150</v>
      </c>
      <c r="J11" s="255">
        <f>16030-11274+800</f>
        <v>5556</v>
      </c>
      <c r="K11" s="255">
        <v>62688</v>
      </c>
      <c r="L11" s="255">
        <v>4076</v>
      </c>
      <c r="M11" s="255">
        <v>972</v>
      </c>
      <c r="N11" s="255">
        <f>848</f>
        <v>848</v>
      </c>
      <c r="O11" s="255">
        <v>202</v>
      </c>
      <c r="P11" s="255"/>
      <c r="Q11" s="257"/>
      <c r="R11" s="257"/>
      <c r="S11" s="284">
        <v>8329</v>
      </c>
      <c r="T11" s="284">
        <v>8329</v>
      </c>
      <c r="U11" s="284"/>
      <c r="V11" s="284">
        <f>9000-2477</f>
        <v>6523</v>
      </c>
      <c r="W11" s="257">
        <v>14823</v>
      </c>
      <c r="X11" s="279">
        <v>2190</v>
      </c>
      <c r="Y11" s="279"/>
      <c r="Z11" s="283"/>
      <c r="AA11" s="283"/>
      <c r="AB11" s="284">
        <v>2390</v>
      </c>
      <c r="AC11" s="301"/>
      <c r="AD11" s="301"/>
      <c r="AE11" s="301"/>
      <c r="AF11" s="301"/>
      <c r="AG11" s="299">
        <f t="shared" si="0"/>
        <v>1503527.128</v>
      </c>
    </row>
    <row r="12" spans="1:33" ht="15">
      <c r="A12" s="254" t="s">
        <v>269</v>
      </c>
      <c r="B12" s="266">
        <f>(76752*0.968)+20990-7444-227</f>
        <v>87614.936</v>
      </c>
      <c r="C12" s="255">
        <f>15990+5000</f>
        <v>20990</v>
      </c>
      <c r="D12" s="257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84"/>
      <c r="T12" s="284"/>
      <c r="U12" s="284"/>
      <c r="V12" s="284"/>
      <c r="W12" s="255"/>
      <c r="X12" s="255"/>
      <c r="Y12" s="255"/>
      <c r="Z12" s="284"/>
      <c r="AA12" s="284"/>
      <c r="AB12" s="284"/>
      <c r="AC12" s="301"/>
      <c r="AD12" s="301"/>
      <c r="AE12" s="301"/>
      <c r="AF12" s="301"/>
      <c r="AG12" s="299">
        <f t="shared" si="0"/>
        <v>87614.936</v>
      </c>
    </row>
    <row r="13" spans="1:33" ht="15">
      <c r="A13" s="254" t="s">
        <v>173</v>
      </c>
      <c r="B13" s="266">
        <f>175691*0.968-5692-27-159-58</f>
        <v>164132.888</v>
      </c>
      <c r="C13" s="255"/>
      <c r="D13" s="257"/>
      <c r="E13" s="255"/>
      <c r="F13" s="255"/>
      <c r="G13" s="255"/>
      <c r="H13" s="255">
        <v>802</v>
      </c>
      <c r="I13" s="255"/>
      <c r="J13" s="255"/>
      <c r="K13" s="255">
        <v>43243</v>
      </c>
      <c r="L13" s="255"/>
      <c r="M13" s="255"/>
      <c r="N13" s="255"/>
      <c r="O13" s="255"/>
      <c r="P13" s="255"/>
      <c r="Q13" s="255"/>
      <c r="R13" s="255"/>
      <c r="S13" s="284"/>
      <c r="T13" s="284"/>
      <c r="U13" s="284"/>
      <c r="V13" s="284"/>
      <c r="W13" s="283"/>
      <c r="X13" s="255">
        <v>496</v>
      </c>
      <c r="Y13" s="255"/>
      <c r="Z13" s="283"/>
      <c r="AA13" s="283"/>
      <c r="AB13" s="284">
        <v>2400</v>
      </c>
      <c r="AC13" s="301">
        <v>14588</v>
      </c>
      <c r="AD13" s="301"/>
      <c r="AE13" s="301"/>
      <c r="AF13" s="301"/>
      <c r="AG13" s="299">
        <f t="shared" si="0"/>
        <v>225661.888</v>
      </c>
    </row>
    <row r="14" spans="1:33" ht="15">
      <c r="A14" s="258" t="s">
        <v>176</v>
      </c>
      <c r="B14" s="266">
        <f>507590*0.968-20061-473-5663+4+120+100</f>
        <v>465374.12</v>
      </c>
      <c r="C14" s="255"/>
      <c r="D14" s="257">
        <f>132695+3309.5*4</f>
        <v>145933</v>
      </c>
      <c r="E14" s="255">
        <f>109127+58435</f>
        <v>167562</v>
      </c>
      <c r="F14" s="255">
        <f>8684+4916</f>
        <v>13600</v>
      </c>
      <c r="G14" s="255">
        <f>11088+6923</f>
        <v>18011</v>
      </c>
      <c r="H14" s="255">
        <v>802</v>
      </c>
      <c r="I14" s="255">
        <v>2238</v>
      </c>
      <c r="J14" s="255">
        <f>5795-623</f>
        <v>5172</v>
      </c>
      <c r="K14" s="255">
        <v>45633</v>
      </c>
      <c r="L14" s="255">
        <v>1767</v>
      </c>
      <c r="M14" s="255">
        <v>422</v>
      </c>
      <c r="N14" s="255">
        <f>271</f>
        <v>271</v>
      </c>
      <c r="O14" s="255">
        <v>65</v>
      </c>
      <c r="P14" s="255"/>
      <c r="Q14" s="255"/>
      <c r="R14" s="283"/>
      <c r="S14" s="284">
        <v>5190</v>
      </c>
      <c r="T14" s="284">
        <v>5190</v>
      </c>
      <c r="U14" s="284">
        <v>6600</v>
      </c>
      <c r="V14" s="284">
        <f>1500+1000-1248</f>
        <v>1252</v>
      </c>
      <c r="W14" s="283"/>
      <c r="X14" s="255">
        <v>2652</v>
      </c>
      <c r="Y14" s="255"/>
      <c r="Z14" s="283"/>
      <c r="AA14" s="283"/>
      <c r="AB14" s="283">
        <v>2390</v>
      </c>
      <c r="AC14" s="298"/>
      <c r="AD14" s="298"/>
      <c r="AE14" s="298"/>
      <c r="AF14" s="298"/>
      <c r="AG14" s="299">
        <f t="shared" si="0"/>
        <v>890124.12</v>
      </c>
    </row>
    <row r="15" spans="1:33" ht="30">
      <c r="A15" s="16" t="s">
        <v>704</v>
      </c>
      <c r="B15" s="257">
        <f>5315376-191986-2340-329095-26250-648818-50530</f>
        <v>4066357</v>
      </c>
      <c r="C15" s="289"/>
      <c r="D15" s="290"/>
      <c r="E15" s="255">
        <v>584833</v>
      </c>
      <c r="F15" s="255">
        <v>32176</v>
      </c>
      <c r="G15" s="255">
        <v>103873</v>
      </c>
      <c r="H15" s="289">
        <v>3410</v>
      </c>
      <c r="I15" s="289"/>
      <c r="J15" s="289"/>
      <c r="K15" s="289">
        <v>91287</v>
      </c>
      <c r="L15" s="289"/>
      <c r="M15" s="289"/>
      <c r="N15" s="289"/>
      <c r="O15" s="289"/>
      <c r="P15" s="289">
        <f>12612+689</f>
        <v>13301</v>
      </c>
      <c r="Q15" s="289"/>
      <c r="R15" s="291">
        <v>7979</v>
      </c>
      <c r="S15" s="292">
        <f>36075-5900</f>
        <v>30175</v>
      </c>
      <c r="T15" s="292"/>
      <c r="U15" s="292"/>
      <c r="V15" s="292"/>
      <c r="W15" s="291"/>
      <c r="X15" s="289"/>
      <c r="Y15" s="283">
        <f>6454+30930</f>
        <v>37384</v>
      </c>
      <c r="Z15" s="283">
        <v>5594</v>
      </c>
      <c r="AA15" s="289"/>
      <c r="AB15" s="283">
        <v>2080</v>
      </c>
      <c r="AC15" s="302"/>
      <c r="AD15" s="302"/>
      <c r="AE15" s="302">
        <v>173401</v>
      </c>
      <c r="AF15" s="302"/>
      <c r="AG15" s="299">
        <f t="shared" si="0"/>
        <v>5151850</v>
      </c>
    </row>
    <row r="16" spans="1:33" ht="45">
      <c r="A16" s="293" t="s">
        <v>705</v>
      </c>
      <c r="B16" s="255">
        <f>1941316+398594-5197-256265-8512-229400-57723</f>
        <v>1782813</v>
      </c>
      <c r="C16" s="289"/>
      <c r="D16" s="290"/>
      <c r="E16" s="255">
        <v>279689</v>
      </c>
      <c r="F16" s="255">
        <v>12467</v>
      </c>
      <c r="G16" s="255">
        <v>48010</v>
      </c>
      <c r="H16" s="289">
        <v>2605</v>
      </c>
      <c r="I16" s="289"/>
      <c r="J16" s="289"/>
      <c r="K16" s="289">
        <v>90560</v>
      </c>
      <c r="L16" s="289"/>
      <c r="M16" s="289"/>
      <c r="N16" s="289"/>
      <c r="O16" s="289"/>
      <c r="P16" s="289"/>
      <c r="Q16" s="289"/>
      <c r="R16" s="291"/>
      <c r="S16" s="292">
        <f>12605-3282</f>
        <v>9323</v>
      </c>
      <c r="T16" s="292"/>
      <c r="U16" s="292"/>
      <c r="V16" s="292"/>
      <c r="W16" s="291"/>
      <c r="X16" s="289"/>
      <c r="Y16" s="283">
        <v>3646</v>
      </c>
      <c r="Z16" s="283"/>
      <c r="AA16" s="289"/>
      <c r="AB16" s="283">
        <v>463</v>
      </c>
      <c r="AC16" s="302"/>
      <c r="AD16" s="302"/>
      <c r="AE16" s="302"/>
      <c r="AF16" s="283"/>
      <c r="AG16" s="299">
        <f t="shared" si="0"/>
        <v>2229576</v>
      </c>
    </row>
    <row r="17" spans="1:33" ht="45.75" thickBot="1">
      <c r="A17" s="293" t="s">
        <v>706</v>
      </c>
      <c r="B17" s="255">
        <f>3333908+835802-2749-311185-20269-426050+11901</f>
        <v>3421358</v>
      </c>
      <c r="C17" s="289"/>
      <c r="D17" s="290"/>
      <c r="E17" s="255">
        <f>605362</f>
        <v>605362</v>
      </c>
      <c r="F17" s="255">
        <f>39594+1311</f>
        <v>40905</v>
      </c>
      <c r="G17" s="255">
        <v>95916</v>
      </c>
      <c r="H17" s="289">
        <v>5811</v>
      </c>
      <c r="I17" s="289"/>
      <c r="J17" s="289"/>
      <c r="K17" s="289">
        <v>146972</v>
      </c>
      <c r="L17" s="289"/>
      <c r="M17" s="289"/>
      <c r="N17" s="289"/>
      <c r="O17" s="289"/>
      <c r="P17" s="289">
        <f>22135+1300</f>
        <v>23435</v>
      </c>
      <c r="Q17" s="289">
        <v>198197</v>
      </c>
      <c r="R17" s="291">
        <v>8799</v>
      </c>
      <c r="S17" s="292">
        <v>25105</v>
      </c>
      <c r="T17" s="292"/>
      <c r="U17" s="292"/>
      <c r="V17" s="292"/>
      <c r="W17" s="291"/>
      <c r="X17" s="289"/>
      <c r="Y17" s="283">
        <v>71375</v>
      </c>
      <c r="Z17" s="283">
        <v>8304</v>
      </c>
      <c r="AA17" s="289"/>
      <c r="AB17" s="303">
        <v>793</v>
      </c>
      <c r="AC17" s="304"/>
      <c r="AD17" s="304"/>
      <c r="AE17" s="304">
        <v>4633949</v>
      </c>
      <c r="AF17" s="304"/>
      <c r="AG17" s="299">
        <f t="shared" si="0"/>
        <v>9286281</v>
      </c>
    </row>
    <row r="18" spans="1:33" ht="15" thickBot="1">
      <c r="A18" s="294" t="s">
        <v>177</v>
      </c>
      <c r="B18" s="295">
        <f aca="true" t="shared" si="1" ref="B18:AF18">SUM(B3:B17)</f>
        <v>13968169.272</v>
      </c>
      <c r="C18" s="295">
        <f t="shared" si="1"/>
        <v>0</v>
      </c>
      <c r="D18" s="295">
        <f t="shared" si="1"/>
        <v>246029</v>
      </c>
      <c r="E18" s="295">
        <f t="shared" si="1"/>
        <v>2562390</v>
      </c>
      <c r="F18" s="295">
        <f t="shared" si="1"/>
        <v>160401</v>
      </c>
      <c r="G18" s="295">
        <f t="shared" si="1"/>
        <v>398284</v>
      </c>
      <c r="H18" s="295">
        <f t="shared" si="1"/>
        <v>38292</v>
      </c>
      <c r="I18" s="295">
        <f t="shared" si="1"/>
        <v>16075</v>
      </c>
      <c r="J18" s="295">
        <f t="shared" si="1"/>
        <v>19865</v>
      </c>
      <c r="K18" s="295">
        <f t="shared" si="1"/>
        <v>690645</v>
      </c>
      <c r="L18" s="295">
        <f t="shared" si="1"/>
        <v>10748</v>
      </c>
      <c r="M18" s="295">
        <f t="shared" si="1"/>
        <v>2564</v>
      </c>
      <c r="N18" s="295">
        <f t="shared" si="1"/>
        <v>2219</v>
      </c>
      <c r="O18" s="295">
        <f t="shared" si="1"/>
        <v>530</v>
      </c>
      <c r="P18" s="295">
        <f t="shared" si="1"/>
        <v>36736</v>
      </c>
      <c r="Q18" s="295">
        <f t="shared" si="1"/>
        <v>204557</v>
      </c>
      <c r="R18" s="295">
        <f t="shared" si="1"/>
        <v>16778</v>
      </c>
      <c r="S18" s="295">
        <f t="shared" si="1"/>
        <v>89589</v>
      </c>
      <c r="T18" s="295">
        <f t="shared" si="1"/>
        <v>24986</v>
      </c>
      <c r="U18" s="295">
        <f t="shared" si="1"/>
        <v>13200</v>
      </c>
      <c r="V18" s="295">
        <f t="shared" si="1"/>
        <v>21295</v>
      </c>
      <c r="W18" s="295">
        <f t="shared" si="1"/>
        <v>81949</v>
      </c>
      <c r="X18" s="295">
        <f t="shared" si="1"/>
        <v>19748</v>
      </c>
      <c r="Y18" s="295">
        <f t="shared" si="1"/>
        <v>112405</v>
      </c>
      <c r="Z18" s="295">
        <f t="shared" si="1"/>
        <v>13898</v>
      </c>
      <c r="AA18" s="295">
        <f t="shared" si="1"/>
        <v>837623</v>
      </c>
      <c r="AB18" s="295">
        <f t="shared" si="1"/>
        <v>22486</v>
      </c>
      <c r="AC18" s="295">
        <f t="shared" si="1"/>
        <v>14588</v>
      </c>
      <c r="AD18" s="295">
        <f t="shared" si="1"/>
        <v>2393</v>
      </c>
      <c r="AE18" s="295">
        <f t="shared" si="1"/>
        <v>4807350</v>
      </c>
      <c r="AF18" s="295">
        <f t="shared" si="1"/>
        <v>1495</v>
      </c>
      <c r="AG18" s="296">
        <f>SUM(B18:AF18)</f>
        <v>24437287.272</v>
      </c>
    </row>
    <row r="19" spans="1:8" ht="15">
      <c r="A19" s="259" t="s">
        <v>693</v>
      </c>
      <c r="H19" s="260"/>
    </row>
    <row r="21" spans="3:10" ht="14.25">
      <c r="C21" s="256" t="s">
        <v>0</v>
      </c>
      <c r="D21" s="256"/>
      <c r="E21" s="256"/>
      <c r="F21" s="261"/>
      <c r="G21" s="261"/>
      <c r="I21" s="256"/>
      <c r="J21" s="262"/>
    </row>
    <row r="22" spans="3:10" ht="12.75">
      <c r="C22" s="256"/>
      <c r="D22" s="256"/>
      <c r="E22" s="307"/>
      <c r="F22" s="307"/>
      <c r="G22" s="307"/>
      <c r="H22" s="307"/>
      <c r="I22" s="307"/>
      <c r="J22" s="263" t="s">
        <v>694</v>
      </c>
    </row>
    <row r="23" spans="3:10" ht="12.75">
      <c r="C23" s="256" t="s">
        <v>695</v>
      </c>
      <c r="D23" s="256" t="s">
        <v>718</v>
      </c>
      <c r="E23" s="264"/>
      <c r="F23" s="264"/>
      <c r="G23" s="264"/>
      <c r="H23" s="264"/>
      <c r="I23" s="264"/>
      <c r="J23" s="263">
        <v>14588</v>
      </c>
    </row>
  </sheetData>
  <sheetProtection/>
  <mergeCells count="1">
    <mergeCell ref="E22:I22"/>
  </mergeCells>
  <printOptions/>
  <pageMargins left="0.31496062992125984" right="0" top="0.6692913385826772" bottom="0.15748031496062992" header="0.31496062992125984" footer="0.196850393700787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2021-10-14T10:10:13Z</cp:lastPrinted>
  <dcterms:created xsi:type="dcterms:W3CDTF">2006-04-20T10:34:24Z</dcterms:created>
  <dcterms:modified xsi:type="dcterms:W3CDTF">2021-10-14T10:11:09Z</dcterms:modified>
  <cp:category/>
  <cp:version/>
  <cp:contentType/>
  <cp:contentStatus/>
</cp:coreProperties>
</file>