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ērķdotācijas" sheetId="1" r:id="rId1"/>
  </sheets>
  <definedNames/>
  <calcPr fullCalcOnLoad="1"/>
</workbook>
</file>

<file path=xl/sharedStrings.xml><?xml version="1.0" encoding="utf-8"?>
<sst xmlns="http://schemas.openxmlformats.org/spreadsheetml/2006/main" count="167" uniqueCount="68">
  <si>
    <t>Ogres 1.vidussk.</t>
  </si>
  <si>
    <t>Jaunogres v-sk.</t>
  </si>
  <si>
    <t>Ogres sākumsk.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</si>
  <si>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</si>
  <si>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</si>
  <si>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</si>
  <si>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</si>
  <si>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</si>
  <si>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</si>
  <si>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</si>
  <si>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</si>
  <si>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</si>
  <si>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</si>
  <si>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</si>
  <si>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</si>
  <si>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</si>
  <si>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</si>
  <si>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</si>
  <si>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</si>
  <si>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</si>
  <si>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Suntažu vidusskola pirmskolas grupa</t>
  </si>
  <si>
    <t>Taurupes pamatskola pirmskolas grupa</t>
  </si>
  <si>
    <t>Madlienas mūzikas un mākslas skola</t>
  </si>
  <si>
    <t>Ogres novada domes</t>
  </si>
  <si>
    <t xml:space="preserve"> Mērķdotācija Izglītības iestāžu 5-6 gadīgo bērnu apmācībai</t>
  </si>
  <si>
    <t xml:space="preserve"> Mērķdotācija Interešu izglītībai  </t>
  </si>
  <si>
    <t>Apstiprinātās dotācijas</t>
  </si>
  <si>
    <t xml:space="preserve"> Mērķdotācija Vispārējai izglītībai </t>
  </si>
  <si>
    <t>Pielikums Nr.6</t>
  </si>
  <si>
    <t>Ogress Mūzikas un mākslas skola</t>
  </si>
  <si>
    <t>Tīnūžu sākumskola</t>
  </si>
  <si>
    <t>Ķeguma komercnovirziena vidusskola</t>
  </si>
  <si>
    <t>Birzgales pamatskola</t>
  </si>
  <si>
    <t>Edgara Kauliņa Lielvārdes vidusskola</t>
  </si>
  <si>
    <t>Jumpravas pamatskola</t>
  </si>
  <si>
    <t>Lēdmanes pamatskola</t>
  </si>
  <si>
    <t>Lielvārdes pamatskola</t>
  </si>
  <si>
    <t>Jumpravas Valdemāra pamatskola</t>
  </si>
  <si>
    <t>Ikšķiles vidusskola</t>
  </si>
  <si>
    <t>Ogres Valsts ģimnāzija</t>
  </si>
  <si>
    <t>Urdaviņa</t>
  </si>
  <si>
    <t>Čiekuriņš</t>
  </si>
  <si>
    <t>Tīnūžu sākumskolas pirmskolas grupa</t>
  </si>
  <si>
    <t>Gaismiņa</t>
  </si>
  <si>
    <t>Birztaliņa</t>
  </si>
  <si>
    <t xml:space="preserve"> Pūt vējiņi</t>
  </si>
  <si>
    <t>VPII Jumpravas pamatskola</t>
  </si>
  <si>
    <t>VPII Lēdmanes pamatskola</t>
  </si>
  <si>
    <t>VPII Lielvārdes pamatskola</t>
  </si>
  <si>
    <t>Ikšķiles mūzikas un mākslas skola</t>
  </si>
  <si>
    <t>Ikšķiles sporta skola</t>
  </si>
  <si>
    <t>Ikšķiles privātās izglītības iestādes</t>
  </si>
  <si>
    <t>Lielvārdes novada sporta centrs</t>
  </si>
  <si>
    <t>Lielvārdes novada mūzikas un mākslas skola</t>
  </si>
  <si>
    <t>Birzgales mūzikas skola</t>
  </si>
  <si>
    <t>Ogres novada sporta centrs</t>
  </si>
  <si>
    <t>Ogres Basketbola skola</t>
  </si>
  <si>
    <t xml:space="preserve"> Taurenītis</t>
  </si>
  <si>
    <t>Ķeipenes pamatskolas pirmsskolas grupa</t>
  </si>
  <si>
    <t>Dotācija Profesionālās ievirzes izglītības iestāžu pedagoģisko darbinieku darba samaksai un sociālās apdrošināšanas obligātajām iemaksām 2021.gadā</t>
  </si>
  <si>
    <t xml:space="preserve"> Mērķdotācija pedagogu darba samaksai Covid laikā par individuālajām konsultācijām </t>
  </si>
  <si>
    <t>Vienreizējā dotācija profesionālās ievirzes izglītības iestāžu pedagoģisko darbinieku atbalstam darba samaksai un sociālās apdrošināšanas obligātajām iemaksām Covid laikā</t>
  </si>
  <si>
    <t>Mērķdotācija vienreizējai piemaksai PII pedagogu atbalstam darba samaksai Covid laikā</t>
  </si>
  <si>
    <t xml:space="preserve"> Mērķdotācijas izglītības iestāžu pedagoģisko darbinieku darba samaksai un sociālās apdrošināšanas obligātajām iemaksām 2021. gadā</t>
  </si>
  <si>
    <t>Ogres Mūzikas un mākslas skola</t>
  </si>
  <si>
    <t>Piemaksa par Covid-19 infekcijas saslimstības testēšanas procesa veikšanu</t>
  </si>
  <si>
    <t>Pakalpojumiem datorikas apmācībām</t>
  </si>
  <si>
    <t>16.12.2021. Saistošajiem noteikumiem Nr.29/2021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</si>
</sst>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3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1" applyNumberFormat="0" applyAlignment="0" applyProtection="0"/>
    <xf numFmtId="0" fontId="4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5" fillId="0" borderId="0" applyNumberFormat="0" applyFill="0" applyBorder="0" applyAlignment="0" applyProtection="0"/>
    <xf numFmtId="0" fontId="8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1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0" fontId="26" fillId="0" borderId="17" xfId="0" applyFont="1" applyBorder="1" applyAlignment="1">
      <alignment/>
    </xf>
    <xf numFmtId="3" fontId="26" fillId="0" borderId="21" xfId="0" applyNumberFormat="1" applyFont="1" applyBorder="1" applyAlignment="1">
      <alignment/>
    </xf>
    <xf numFmtId="0" fontId="26" fillId="0" borderId="11" xfId="0" applyFont="1" applyBorder="1" applyAlignment="1">
      <alignment/>
    </xf>
    <xf numFmtId="3" fontId="26" fillId="0" borderId="22" xfId="0" applyNumberFormat="1" applyFont="1" applyBorder="1" applyAlignment="1">
      <alignment/>
    </xf>
    <xf numFmtId="0" fontId="24" fillId="0" borderId="11" xfId="0" applyFont="1" applyBorder="1" applyAlignment="1">
      <alignment/>
    </xf>
    <xf numFmtId="3" fontId="27" fillId="0" borderId="11" xfId="41" applyNumberFormat="1" applyFont="1" applyFill="1" applyBorder="1" applyAlignment="1" applyProtection="1">
      <alignment horizontal="right" wrapText="1"/>
      <protection/>
    </xf>
    <xf numFmtId="3" fontId="27" fillId="0" borderId="22" xfId="41" applyNumberFormat="1" applyFont="1" applyFill="1" applyBorder="1" applyAlignment="1" applyProtection="1">
      <alignment horizontal="right" wrapText="1"/>
      <protection/>
    </xf>
    <xf numFmtId="0" fontId="23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3" fontId="26" fillId="0" borderId="12" xfId="0" applyNumberFormat="1" applyFont="1" applyFill="1" applyBorder="1" applyAlignment="1">
      <alignment/>
    </xf>
    <xf numFmtId="3" fontId="26" fillId="0" borderId="22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28" fillId="0" borderId="12" xfId="0" applyFont="1" applyBorder="1" applyAlignment="1">
      <alignment/>
    </xf>
    <xf numFmtId="1" fontId="28" fillId="0" borderId="11" xfId="0" applyNumberFormat="1" applyFont="1" applyBorder="1" applyAlignment="1">
      <alignment/>
    </xf>
    <xf numFmtId="1" fontId="28" fillId="0" borderId="16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0" fontId="26" fillId="0" borderId="26" xfId="0" applyFont="1" applyBorder="1" applyAlignment="1">
      <alignment/>
    </xf>
    <xf numFmtId="3" fontId="26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24" fillId="0" borderId="23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Fill="1" applyBorder="1" applyAlignment="1">
      <alignment/>
    </xf>
    <xf numFmtId="1" fontId="24" fillId="0" borderId="30" xfId="0" applyNumberFormat="1" applyFont="1" applyFill="1" applyBorder="1" applyAlignment="1">
      <alignment/>
    </xf>
    <xf numFmtId="3" fontId="26" fillId="0" borderId="30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26" fillId="0" borderId="30" xfId="0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6" fillId="0" borderId="0" xfId="51" applyFont="1" applyFill="1" applyAlignment="1">
      <alignment horizontal="right"/>
      <protection/>
    </xf>
    <xf numFmtId="0" fontId="26" fillId="0" borderId="0" xfId="0" applyFont="1" applyFill="1" applyAlignment="1">
      <alignment horizontal="right"/>
    </xf>
  </cellXfs>
  <cellStyles count="52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Hyperlink" xfId="42"/>
    <cellStyle name="Ievade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_Specbudz.kopsavilkums 2006.g un korekc." xfId="51"/>
    <cellStyle name="Nosaukums" xfId="52"/>
    <cellStyle name="Parasts 2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E1">
      <selection activeCell="Z8" sqref="Z8"/>
    </sheetView>
  </sheetViews>
  <sheetFormatPr defaultColWidth="9.140625" defaultRowHeight="12.75"/>
  <cols>
    <col min="1" max="1" width="19.8515625" style="0" customWidth="1"/>
    <col min="2" max="2" width="9.8515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28125" style="0" customWidth="1"/>
    <col min="9" max="9" width="12.00390625" style="0" customWidth="1"/>
    <col min="10" max="12" width="11.28125" style="0" customWidth="1"/>
    <col min="13" max="14" width="11.421875" style="0" customWidth="1"/>
    <col min="15" max="15" width="11.7109375" style="0" customWidth="1"/>
    <col min="16" max="17" width="11.8515625" style="0" customWidth="1"/>
    <col min="18" max="18" width="11.7109375" style="0" customWidth="1"/>
    <col min="19" max="20" width="11.57421875" style="0" customWidth="1"/>
    <col min="21" max="21" width="11.421875" style="0" customWidth="1"/>
    <col min="22" max="23" width="11.28125" style="0" customWidth="1"/>
    <col min="24" max="24" width="11.421875" style="0" customWidth="1"/>
    <col min="25" max="25" width="11.140625" style="0" customWidth="1"/>
    <col min="26" max="26" width="12.140625" style="0" customWidth="1"/>
  </cols>
  <sheetData>
    <row r="1" spans="1:26" ht="15">
      <c r="A1" s="1"/>
      <c r="B1" s="1"/>
      <c r="C1" s="1"/>
      <c r="D1" s="1"/>
      <c r="E1" s="1"/>
      <c r="F1" s="29"/>
      <c r="G1" s="29"/>
      <c r="H1" s="30"/>
      <c r="I1" s="1"/>
      <c r="L1" s="1"/>
      <c r="Z1" s="93" t="s">
        <v>28</v>
      </c>
    </row>
    <row r="2" spans="1:26" ht="15">
      <c r="A2" s="1"/>
      <c r="B2" s="1"/>
      <c r="C2" s="1"/>
      <c r="D2" s="1"/>
      <c r="E2" s="1"/>
      <c r="F2" s="31"/>
      <c r="G2" s="31"/>
      <c r="H2" s="30"/>
      <c r="I2" s="1"/>
      <c r="L2" s="1"/>
      <c r="Z2" s="94" t="s">
        <v>23</v>
      </c>
    </row>
    <row r="3" spans="1:26" ht="15">
      <c r="A3" s="1"/>
      <c r="B3" s="1"/>
      <c r="C3" s="1"/>
      <c r="D3" s="1"/>
      <c r="E3" s="1"/>
      <c r="F3" s="31"/>
      <c r="G3" s="31"/>
      <c r="H3" s="30"/>
      <c r="I3" s="1"/>
      <c r="L3" s="1"/>
      <c r="Z3" s="94" t="s">
        <v>67</v>
      </c>
    </row>
    <row r="4" spans="1:12" ht="15">
      <c r="A4" s="1"/>
      <c r="B4" s="1"/>
      <c r="C4" s="1"/>
      <c r="D4" s="1"/>
      <c r="E4" s="1"/>
      <c r="F4" s="31"/>
      <c r="G4" s="31"/>
      <c r="H4" s="30"/>
      <c r="I4" s="1"/>
      <c r="J4" s="1"/>
      <c r="K4" s="1"/>
      <c r="L4" s="1"/>
    </row>
    <row r="5" spans="1:12" ht="40.5" customHeight="1">
      <c r="A5" s="91" t="s">
        <v>63</v>
      </c>
      <c r="B5" s="91"/>
      <c r="C5" s="91"/>
      <c r="D5" s="91"/>
      <c r="E5" s="91"/>
      <c r="F5" s="91"/>
      <c r="G5" s="91"/>
      <c r="H5" s="91"/>
      <c r="I5" s="91"/>
      <c r="J5" s="91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27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24" ht="58.5" thickBot="1">
      <c r="A8" s="4"/>
      <c r="B8" s="5" t="s">
        <v>0</v>
      </c>
      <c r="C8" s="5" t="s">
        <v>39</v>
      </c>
      <c r="D8" s="5" t="s">
        <v>1</v>
      </c>
      <c r="E8" s="5" t="s">
        <v>2</v>
      </c>
      <c r="F8" s="5" t="s">
        <v>3</v>
      </c>
      <c r="G8" s="26" t="s">
        <v>16</v>
      </c>
      <c r="H8" s="26" t="s">
        <v>17</v>
      </c>
      <c r="I8" s="26" t="s">
        <v>18</v>
      </c>
      <c r="J8" s="26" t="s">
        <v>19</v>
      </c>
      <c r="K8" s="54" t="s">
        <v>38</v>
      </c>
      <c r="L8" s="54" t="s">
        <v>30</v>
      </c>
      <c r="M8" s="54" t="s">
        <v>31</v>
      </c>
      <c r="N8" s="54" t="s">
        <v>32</v>
      </c>
      <c r="O8" s="55" t="s">
        <v>33</v>
      </c>
      <c r="P8" s="55" t="s">
        <v>34</v>
      </c>
      <c r="Q8" s="55" t="s">
        <v>35</v>
      </c>
      <c r="R8" s="55" t="s">
        <v>36</v>
      </c>
      <c r="S8" s="56" t="s">
        <v>37</v>
      </c>
      <c r="T8" s="39" t="s">
        <v>4</v>
      </c>
      <c r="U8" s="7"/>
      <c r="V8" s="7"/>
      <c r="W8" s="1"/>
      <c r="X8" s="8"/>
    </row>
    <row r="9" spans="1:24" ht="15">
      <c r="A9" s="81" t="s">
        <v>5</v>
      </c>
      <c r="B9" s="75">
        <f>1336048+692207-518</f>
        <v>2027737</v>
      </c>
      <c r="C9" s="76">
        <f>600133+341068-989</f>
        <v>940212</v>
      </c>
      <c r="D9" s="77">
        <f>591024+298727</f>
        <v>889751</v>
      </c>
      <c r="E9" s="76">
        <f>651879+327516</f>
        <v>979395</v>
      </c>
      <c r="F9" s="78">
        <f>210233+106461</f>
        <v>316694</v>
      </c>
      <c r="G9" s="82">
        <f>237186+141106</f>
        <v>378292</v>
      </c>
      <c r="H9" s="82">
        <f>302237+147053</f>
        <v>449290</v>
      </c>
      <c r="I9" s="82">
        <f>109127+58435</f>
        <v>167562</v>
      </c>
      <c r="J9" s="82">
        <f>65493+31869</f>
        <v>97362</v>
      </c>
      <c r="K9" s="79">
        <f>1005344+544121</f>
        <v>1549465</v>
      </c>
      <c r="L9" s="79">
        <f>73536+40712</f>
        <v>114248</v>
      </c>
      <c r="M9" s="75">
        <f>400201+226131</f>
        <v>626332</v>
      </c>
      <c r="N9" s="76">
        <f>103839+53558</f>
        <v>157397</v>
      </c>
      <c r="O9" s="75">
        <f>561970+265235</f>
        <v>827205</v>
      </c>
      <c r="P9" s="76">
        <f>152806+68248</f>
        <v>221054</v>
      </c>
      <c r="Q9" s="77">
        <f>106423+59476</f>
        <v>165899</v>
      </c>
      <c r="R9" s="76">
        <f>352520+192403</f>
        <v>544923</v>
      </c>
      <c r="S9" s="80">
        <f>399456+198197-1311</f>
        <v>596342</v>
      </c>
      <c r="T9" s="89">
        <f>SUM(B9:S9)</f>
        <v>11049160</v>
      </c>
      <c r="U9" s="9"/>
      <c r="V9" s="9"/>
      <c r="W9" s="1"/>
      <c r="X9" s="10"/>
    </row>
    <row r="10" spans="1:24" ht="27" thickBot="1">
      <c r="A10" s="83" t="s">
        <v>66</v>
      </c>
      <c r="B10" s="84">
        <v>518</v>
      </c>
      <c r="C10" s="85">
        <v>989</v>
      </c>
      <c r="D10" s="86"/>
      <c r="E10" s="86"/>
      <c r="F10" s="86"/>
      <c r="G10" s="87"/>
      <c r="H10" s="87"/>
      <c r="I10" s="87"/>
      <c r="J10" s="87"/>
      <c r="K10" s="88"/>
      <c r="L10" s="88"/>
      <c r="M10" s="86"/>
      <c r="N10" s="86"/>
      <c r="O10" s="86"/>
      <c r="P10" s="86"/>
      <c r="Q10" s="86"/>
      <c r="R10" s="86"/>
      <c r="S10" s="86"/>
      <c r="T10" s="90">
        <f>SUM(B10:S10)</f>
        <v>1507</v>
      </c>
      <c r="U10" s="9"/>
      <c r="V10" s="9"/>
      <c r="W10" s="1"/>
      <c r="X10" s="10"/>
    </row>
    <row r="11" spans="1:19" ht="15">
      <c r="A11" s="11"/>
      <c r="B11" s="12"/>
      <c r="C11" s="13"/>
      <c r="D11" s="14"/>
      <c r="E11" s="14"/>
      <c r="F11" s="15"/>
      <c r="G11" s="9"/>
      <c r="H11" s="16"/>
      <c r="I11" s="1"/>
      <c r="K11" s="57"/>
      <c r="L11" s="57"/>
      <c r="M11" s="58"/>
      <c r="N11" s="58"/>
      <c r="O11" s="58"/>
      <c r="P11" s="58"/>
      <c r="Q11" s="58"/>
      <c r="R11" s="58"/>
      <c r="S11" s="58"/>
    </row>
    <row r="12" spans="1:13" ht="16.5" thickBot="1">
      <c r="A12" s="3" t="s">
        <v>24</v>
      </c>
      <c r="B12" s="3"/>
      <c r="C12" s="3"/>
      <c r="D12" s="3"/>
      <c r="E12" s="3"/>
      <c r="F12" s="3"/>
      <c r="G12" s="18"/>
      <c r="H12" s="18"/>
      <c r="I12" s="18"/>
      <c r="J12" s="1"/>
      <c r="K12" s="1"/>
      <c r="L12" s="1"/>
      <c r="M12" s="17"/>
    </row>
    <row r="13" spans="1:23" ht="68.25" customHeight="1" thickBot="1">
      <c r="A13" s="4"/>
      <c r="B13" s="6" t="s">
        <v>6</v>
      </c>
      <c r="C13" s="6" t="s">
        <v>7</v>
      </c>
      <c r="D13" s="5" t="s">
        <v>8</v>
      </c>
      <c r="E13" s="6" t="s">
        <v>9</v>
      </c>
      <c r="F13" s="6" t="s">
        <v>10</v>
      </c>
      <c r="G13" s="6" t="s">
        <v>11</v>
      </c>
      <c r="H13" s="19" t="s">
        <v>12</v>
      </c>
      <c r="I13" s="26" t="s">
        <v>58</v>
      </c>
      <c r="J13" s="26" t="s">
        <v>57</v>
      </c>
      <c r="K13" s="26" t="s">
        <v>20</v>
      </c>
      <c r="L13" s="26" t="s">
        <v>21</v>
      </c>
      <c r="M13" s="59" t="s">
        <v>40</v>
      </c>
      <c r="N13" s="59" t="s">
        <v>41</v>
      </c>
      <c r="O13" s="60" t="s">
        <v>42</v>
      </c>
      <c r="P13" s="59" t="s">
        <v>43</v>
      </c>
      <c r="Q13" s="59" t="s">
        <v>44</v>
      </c>
      <c r="R13" s="55" t="s">
        <v>45</v>
      </c>
      <c r="S13" s="55" t="s">
        <v>46</v>
      </c>
      <c r="T13" s="55" t="s">
        <v>47</v>
      </c>
      <c r="U13" s="55" t="s">
        <v>48</v>
      </c>
      <c r="V13" s="41" t="s">
        <v>13</v>
      </c>
      <c r="W13" s="17"/>
    </row>
    <row r="14" spans="1:23" ht="15.75" thickBot="1">
      <c r="A14" s="27" t="s">
        <v>5</v>
      </c>
      <c r="B14" s="33">
        <f>98144+53314</f>
        <v>151458</v>
      </c>
      <c r="C14" s="33">
        <f>57304+28289</f>
        <v>85593</v>
      </c>
      <c r="D14" s="33">
        <f>97080+45871</f>
        <v>142951</v>
      </c>
      <c r="E14" s="33">
        <f>91552+46786</f>
        <v>138338</v>
      </c>
      <c r="F14" s="33">
        <f>36968+19140</f>
        <v>56108</v>
      </c>
      <c r="G14" s="33">
        <f>69824+51134</f>
        <v>120958</v>
      </c>
      <c r="H14" s="34">
        <f>30304+23937</f>
        <v>54241</v>
      </c>
      <c r="I14" s="35">
        <f>14048+7695</f>
        <v>21743</v>
      </c>
      <c r="J14" s="35">
        <f>33152+20621</f>
        <v>53773</v>
      </c>
      <c r="K14" s="35">
        <f>35375+21583</f>
        <v>56958</v>
      </c>
      <c r="L14" s="35">
        <f>11088+6923</f>
        <v>18011</v>
      </c>
      <c r="M14" s="46">
        <f>100581+51229</f>
        <v>151810</v>
      </c>
      <c r="N14" s="46">
        <f>51624+36655</f>
        <v>88279</v>
      </c>
      <c r="O14" s="46">
        <f>25040+15989</f>
        <v>41029</v>
      </c>
      <c r="P14" s="33">
        <f>61368+36608</f>
        <v>97976</v>
      </c>
      <c r="Q14" s="33">
        <f>15528+11402</f>
        <v>26930</v>
      </c>
      <c r="R14" s="33">
        <f>117763-15930+50068+2000</f>
        <v>153901</v>
      </c>
      <c r="S14" s="33">
        <f>32605-4620+17363</f>
        <v>45348</v>
      </c>
      <c r="T14" s="33">
        <f>17833-2980+12603</f>
        <v>27456</v>
      </c>
      <c r="U14" s="64">
        <f>35380-6260+15882+2000</f>
        <v>47002</v>
      </c>
      <c r="V14" s="42">
        <f>SUM(B14:U14)</f>
        <v>1579863</v>
      </c>
      <c r="W14" s="17"/>
    </row>
    <row r="15" spans="1:21" ht="15">
      <c r="A15" s="20"/>
      <c r="B15" s="14"/>
      <c r="C15" s="14"/>
      <c r="D15" s="14"/>
      <c r="E15" s="14"/>
      <c r="F15" s="14"/>
      <c r="G15" s="14"/>
      <c r="H15" s="14"/>
      <c r="I15" s="14"/>
      <c r="J15" s="9"/>
      <c r="K15" s="9"/>
      <c r="L15" s="9"/>
      <c r="M15" s="57"/>
      <c r="N15" s="57"/>
      <c r="O15" s="57"/>
      <c r="P15" s="58"/>
      <c r="Q15" s="58"/>
      <c r="R15" s="58"/>
      <c r="S15" s="58"/>
      <c r="T15" s="58"/>
      <c r="U15" s="58"/>
    </row>
    <row r="16" spans="1:12" ht="16.5" thickBot="1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</row>
    <row r="17" spans="1:28" ht="72" customHeight="1" thickBot="1">
      <c r="A17" s="4"/>
      <c r="B17" s="51" t="s">
        <v>0</v>
      </c>
      <c r="C17" s="5" t="s">
        <v>39</v>
      </c>
      <c r="D17" s="21" t="s">
        <v>1</v>
      </c>
      <c r="E17" s="5" t="s">
        <v>2</v>
      </c>
      <c r="F17" s="22" t="s">
        <v>3</v>
      </c>
      <c r="G17" s="26" t="s">
        <v>16</v>
      </c>
      <c r="H17" s="26" t="s">
        <v>17</v>
      </c>
      <c r="I17" s="26" t="s">
        <v>18</v>
      </c>
      <c r="J17" s="26" t="s">
        <v>19</v>
      </c>
      <c r="K17" s="22" t="s">
        <v>55</v>
      </c>
      <c r="L17" s="26" t="s">
        <v>64</v>
      </c>
      <c r="M17" s="5" t="s">
        <v>38</v>
      </c>
      <c r="N17" s="5" t="s">
        <v>30</v>
      </c>
      <c r="O17" s="22" t="s">
        <v>49</v>
      </c>
      <c r="P17" s="22" t="s">
        <v>50</v>
      </c>
      <c r="Q17" s="22" t="s">
        <v>51</v>
      </c>
      <c r="R17" s="5" t="s">
        <v>31</v>
      </c>
      <c r="S17" s="5" t="s">
        <v>32</v>
      </c>
      <c r="T17" s="52" t="s">
        <v>33</v>
      </c>
      <c r="U17" s="52" t="s">
        <v>34</v>
      </c>
      <c r="V17" s="52" t="s">
        <v>35</v>
      </c>
      <c r="W17" s="52" t="s">
        <v>36</v>
      </c>
      <c r="X17" s="53" t="s">
        <v>52</v>
      </c>
      <c r="Y17" s="53" t="s">
        <v>53</v>
      </c>
      <c r="Z17" s="56" t="s">
        <v>37</v>
      </c>
      <c r="AA17" s="41" t="s">
        <v>4</v>
      </c>
      <c r="AB17" s="23"/>
    </row>
    <row r="18" spans="1:27" ht="15.75" thickBot="1">
      <c r="A18" s="24" t="s">
        <v>5</v>
      </c>
      <c r="B18" s="33">
        <f>31197+13207</f>
        <v>44404</v>
      </c>
      <c r="C18" s="33">
        <f>28946+11026</f>
        <v>39972</v>
      </c>
      <c r="D18" s="33">
        <f>37951+8879</f>
        <v>46830</v>
      </c>
      <c r="E18" s="33">
        <f>24202+15985</f>
        <v>40187</v>
      </c>
      <c r="F18" s="34">
        <f>12222+7209</f>
        <v>19431</v>
      </c>
      <c r="G18" s="35">
        <f>20262+9076</f>
        <v>29338</v>
      </c>
      <c r="H18" s="35">
        <f>14312+7732</f>
        <v>22044</v>
      </c>
      <c r="I18" s="35">
        <f>8684+4916</f>
        <v>13600</v>
      </c>
      <c r="J18" s="35">
        <f>5729+4142</f>
        <v>9871</v>
      </c>
      <c r="K18" s="35">
        <f>30876+27740</f>
        <v>58616</v>
      </c>
      <c r="L18" s="35">
        <f>12222+9360</f>
        <v>21582</v>
      </c>
      <c r="M18" s="48">
        <f>49737+23101</f>
        <v>72838</v>
      </c>
      <c r="N18" s="48">
        <f>7265+2622</f>
        <v>9887</v>
      </c>
      <c r="O18" s="48">
        <f>9865+6453</f>
        <v>16318</v>
      </c>
      <c r="P18" s="48">
        <v>2864</v>
      </c>
      <c r="Q18" s="48">
        <v>2616</v>
      </c>
      <c r="R18" s="48">
        <f>18866+9189</f>
        <v>28055</v>
      </c>
      <c r="S18" s="48">
        <f>6695+3278</f>
        <v>9973</v>
      </c>
      <c r="T18" s="33">
        <f>15744+7870</f>
        <v>23614</v>
      </c>
      <c r="U18" s="33">
        <f>11872+7778</f>
        <v>19650</v>
      </c>
      <c r="V18" s="33">
        <f>7313+7106</f>
        <v>14419</v>
      </c>
      <c r="W18" s="33">
        <f>9306+4876</f>
        <v>14182</v>
      </c>
      <c r="X18" s="34">
        <f>7597+6227</f>
        <v>13824</v>
      </c>
      <c r="Y18" s="34">
        <f>9213+5737</f>
        <v>14950</v>
      </c>
      <c r="Z18" s="45">
        <v>1311</v>
      </c>
      <c r="AA18" s="43">
        <f>SUM(B18:Z18)</f>
        <v>590376</v>
      </c>
    </row>
    <row r="19" spans="1:14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9"/>
      <c r="N19" s="25"/>
    </row>
    <row r="20" spans="1:12" ht="41.25" customHeight="1" thickBot="1">
      <c r="A20" s="92" t="s">
        <v>59</v>
      </c>
      <c r="B20" s="92"/>
      <c r="C20" s="92"/>
      <c r="D20" s="92"/>
      <c r="E20" s="92"/>
      <c r="F20" s="92"/>
      <c r="G20" s="92"/>
      <c r="H20" s="92"/>
      <c r="I20" s="92"/>
      <c r="J20" s="92"/>
      <c r="K20" s="1"/>
      <c r="L20" s="1"/>
    </row>
    <row r="21" spans="1:17" ht="71.25" customHeight="1" thickBot="1">
      <c r="A21" s="4"/>
      <c r="B21" s="22" t="s">
        <v>55</v>
      </c>
      <c r="C21" s="22" t="s">
        <v>56</v>
      </c>
      <c r="D21" s="26" t="s">
        <v>29</v>
      </c>
      <c r="E21" s="26" t="s">
        <v>22</v>
      </c>
      <c r="F21" s="61" t="s">
        <v>49</v>
      </c>
      <c r="G21" s="61" t="s">
        <v>50</v>
      </c>
      <c r="H21" s="61" t="s">
        <v>54</v>
      </c>
      <c r="I21" s="62" t="s">
        <v>52</v>
      </c>
      <c r="J21" s="62" t="s">
        <v>53</v>
      </c>
      <c r="K21" s="41" t="s">
        <v>4</v>
      </c>
      <c r="L21" s="1"/>
      <c r="M21" s="1"/>
      <c r="N21" s="1"/>
      <c r="O21" s="1"/>
      <c r="P21" s="1"/>
      <c r="Q21" s="1"/>
    </row>
    <row r="22" spans="1:17" ht="16.5" thickBot="1">
      <c r="A22" s="24" t="s">
        <v>26</v>
      </c>
      <c r="B22" s="32">
        <f>200002+4034</f>
        <v>204036</v>
      </c>
      <c r="C22" s="32">
        <f>116913+2358+12071</f>
        <v>131342</v>
      </c>
      <c r="D22" s="28">
        <f>553847+9039</f>
        <v>562886</v>
      </c>
      <c r="E22" s="32">
        <f>74443+1147</f>
        <v>75590</v>
      </c>
      <c r="F22" s="63">
        <f>158143+2670</f>
        <v>160813</v>
      </c>
      <c r="G22" s="63">
        <f>34146+689-12071</f>
        <v>22764</v>
      </c>
      <c r="H22" s="63">
        <f>85680+1284</f>
        <v>86964</v>
      </c>
      <c r="I22" s="49">
        <f>67166-1896+1300</f>
        <v>66570</v>
      </c>
      <c r="J22" s="50">
        <f>190683-7856+3109</f>
        <v>185936</v>
      </c>
      <c r="K22" s="42">
        <f>SUM(B22:J22)</f>
        <v>1496901</v>
      </c>
      <c r="L22" s="1"/>
      <c r="M22" s="1"/>
      <c r="N22" s="1"/>
      <c r="O22" s="1"/>
      <c r="P22" s="1"/>
      <c r="Q22" s="1"/>
    </row>
    <row r="23" spans="1:12" ht="14.25">
      <c r="A23" s="11"/>
      <c r="B23" s="12"/>
      <c r="C23" s="12"/>
      <c r="D23" s="12"/>
      <c r="E23" s="12"/>
      <c r="F23" s="16"/>
      <c r="G23" s="1"/>
      <c r="H23" s="1"/>
      <c r="I23" s="1"/>
      <c r="J23" s="1"/>
      <c r="K23" s="1"/>
      <c r="L23" s="1"/>
    </row>
    <row r="24" spans="1:12" ht="16.5" thickBot="1">
      <c r="A24" s="3" t="s">
        <v>60</v>
      </c>
      <c r="B24" s="3"/>
      <c r="C24" s="3"/>
      <c r="D24" s="3"/>
      <c r="E24" s="3"/>
      <c r="F24" s="3"/>
      <c r="G24" s="3"/>
      <c r="H24" s="3"/>
      <c r="I24" s="3"/>
      <c r="J24" s="1"/>
      <c r="K24" s="1"/>
      <c r="L24" s="1"/>
    </row>
    <row r="25" spans="1:23" ht="58.5" thickBot="1">
      <c r="A25" s="4"/>
      <c r="B25" s="5" t="s">
        <v>0</v>
      </c>
      <c r="C25" s="5" t="s">
        <v>39</v>
      </c>
      <c r="D25" s="5" t="s">
        <v>1</v>
      </c>
      <c r="E25" s="5" t="s">
        <v>2</v>
      </c>
      <c r="F25" s="5" t="s">
        <v>3</v>
      </c>
      <c r="G25" s="26" t="s">
        <v>16</v>
      </c>
      <c r="H25" s="26" t="s">
        <v>17</v>
      </c>
      <c r="I25" s="26" t="s">
        <v>18</v>
      </c>
      <c r="J25" s="26" t="s">
        <v>19</v>
      </c>
      <c r="K25" s="54" t="s">
        <v>38</v>
      </c>
      <c r="L25" s="54" t="s">
        <v>30</v>
      </c>
      <c r="M25" s="54" t="s">
        <v>31</v>
      </c>
      <c r="N25" s="54" t="s">
        <v>32</v>
      </c>
      <c r="O25" s="55" t="s">
        <v>33</v>
      </c>
      <c r="P25" s="55" t="s">
        <v>34</v>
      </c>
      <c r="Q25" s="55" t="s">
        <v>35</v>
      </c>
      <c r="R25" s="55" t="s">
        <v>36</v>
      </c>
      <c r="S25" s="39" t="s">
        <v>4</v>
      </c>
      <c r="T25" s="7"/>
      <c r="U25" s="7"/>
      <c r="V25" s="1"/>
      <c r="W25" s="8"/>
    </row>
    <row r="26" spans="1:23" ht="15.75" thickBot="1">
      <c r="A26" s="24" t="s">
        <v>5</v>
      </c>
      <c r="B26" s="33">
        <f>70947-64065</f>
        <v>6882</v>
      </c>
      <c r="C26" s="34">
        <f>31825-25219</f>
        <v>6606</v>
      </c>
      <c r="D26" s="36">
        <f>31296-18345</f>
        <v>12951</v>
      </c>
      <c r="E26" s="34">
        <f>34616-18720</f>
        <v>15896</v>
      </c>
      <c r="F26" s="37">
        <f>11164-7988</f>
        <v>3176</v>
      </c>
      <c r="G26" s="38">
        <f>12595-6599</f>
        <v>5996</v>
      </c>
      <c r="H26" s="38">
        <f>16030-11274</f>
        <v>4756</v>
      </c>
      <c r="I26" s="38">
        <f>5795-623</f>
        <v>5172</v>
      </c>
      <c r="J26" s="38">
        <f>3453-312</f>
        <v>3141</v>
      </c>
      <c r="K26" s="44">
        <v>7920</v>
      </c>
      <c r="L26" s="44">
        <v>3621</v>
      </c>
      <c r="M26" s="33">
        <v>21072</v>
      </c>
      <c r="N26" s="34">
        <v>3187</v>
      </c>
      <c r="O26" s="33">
        <v>4114</v>
      </c>
      <c r="P26" s="34">
        <v>3938</v>
      </c>
      <c r="Q26" s="36">
        <v>1926</v>
      </c>
      <c r="R26" s="34">
        <f>11487-154</f>
        <v>11333</v>
      </c>
      <c r="S26" s="40">
        <f>SUM(B26:R26)</f>
        <v>121687</v>
      </c>
      <c r="T26" s="9"/>
      <c r="U26" s="9"/>
      <c r="V26" s="1"/>
      <c r="W26" s="10"/>
    </row>
    <row r="27" spans="1:23" ht="15">
      <c r="A27" s="11"/>
      <c r="B27" s="58"/>
      <c r="C27" s="58"/>
      <c r="D27" s="58"/>
      <c r="E27" s="58"/>
      <c r="F27" s="58"/>
      <c r="G27" s="65"/>
      <c r="H27" s="65"/>
      <c r="I27" s="65"/>
      <c r="J27" s="65"/>
      <c r="K27" s="57"/>
      <c r="L27" s="57"/>
      <c r="M27" s="58"/>
      <c r="N27" s="58"/>
      <c r="O27" s="58"/>
      <c r="P27" s="58"/>
      <c r="Q27" s="58"/>
      <c r="R27" s="58"/>
      <c r="S27" s="66"/>
      <c r="T27" s="9"/>
      <c r="U27" s="9"/>
      <c r="V27" s="1"/>
      <c r="W27" s="10"/>
    </row>
    <row r="28" spans="1:23" ht="16.5" thickBot="1">
      <c r="A28" s="67" t="s">
        <v>65</v>
      </c>
      <c r="B28" s="68"/>
      <c r="C28" s="68"/>
      <c r="D28" s="68"/>
      <c r="E28" s="68"/>
      <c r="F28" s="68"/>
      <c r="G28" s="69"/>
      <c r="H28" s="65"/>
      <c r="I28" s="65"/>
      <c r="J28" s="65"/>
      <c r="K28" s="57"/>
      <c r="L28" s="57"/>
      <c r="M28" s="58"/>
      <c r="N28" s="58"/>
      <c r="O28" s="58"/>
      <c r="P28" s="58"/>
      <c r="Q28" s="58"/>
      <c r="R28" s="58"/>
      <c r="S28" s="66"/>
      <c r="T28" s="9"/>
      <c r="U28" s="9"/>
      <c r="V28" s="1"/>
      <c r="W28" s="10"/>
    </row>
    <row r="29" spans="1:23" ht="58.5" thickBot="1">
      <c r="A29" s="4"/>
      <c r="B29" s="5" t="s">
        <v>0</v>
      </c>
      <c r="C29" s="5" t="s">
        <v>39</v>
      </c>
      <c r="D29" s="5" t="s">
        <v>1</v>
      </c>
      <c r="E29" s="5" t="s">
        <v>2</v>
      </c>
      <c r="F29" s="5" t="s">
        <v>3</v>
      </c>
      <c r="G29" s="26" t="s">
        <v>16</v>
      </c>
      <c r="H29" s="26" t="s">
        <v>17</v>
      </c>
      <c r="I29" s="26" t="s">
        <v>18</v>
      </c>
      <c r="J29" s="26" t="s">
        <v>19</v>
      </c>
      <c r="K29" s="54" t="s">
        <v>38</v>
      </c>
      <c r="L29" s="54" t="s">
        <v>30</v>
      </c>
      <c r="M29" s="54" t="s">
        <v>31</v>
      </c>
      <c r="N29" s="54" t="s">
        <v>32</v>
      </c>
      <c r="O29" s="55" t="s">
        <v>33</v>
      </c>
      <c r="P29" s="55" t="s">
        <v>34</v>
      </c>
      <c r="Q29" s="55" t="s">
        <v>35</v>
      </c>
      <c r="R29" s="55" t="s">
        <v>36</v>
      </c>
      <c r="S29" s="56" t="s">
        <v>37</v>
      </c>
      <c r="T29" s="39" t="s">
        <v>4</v>
      </c>
      <c r="U29" s="9"/>
      <c r="V29" s="1"/>
      <c r="W29" s="10"/>
    </row>
    <row r="30" spans="1:23" ht="15.75" thickBot="1">
      <c r="A30" s="24" t="s">
        <v>5</v>
      </c>
      <c r="B30" s="70">
        <v>14858</v>
      </c>
      <c r="C30" s="71">
        <v>6570</v>
      </c>
      <c r="D30" s="72">
        <v>6778</v>
      </c>
      <c r="E30" s="73">
        <v>8224</v>
      </c>
      <c r="F30" s="74">
        <v>2273</v>
      </c>
      <c r="G30" s="38">
        <v>3102</v>
      </c>
      <c r="H30" s="38">
        <v>2990</v>
      </c>
      <c r="I30" s="38">
        <v>1681</v>
      </c>
      <c r="J30" s="38">
        <v>1143</v>
      </c>
      <c r="K30" s="44">
        <v>13321</v>
      </c>
      <c r="L30" s="44">
        <v>1539</v>
      </c>
      <c r="M30" s="33">
        <v>5008</v>
      </c>
      <c r="N30" s="34">
        <v>1880</v>
      </c>
      <c r="O30" s="33">
        <v>5481</v>
      </c>
      <c r="P30" s="34">
        <v>1726</v>
      </c>
      <c r="Q30" s="36">
        <v>2044</v>
      </c>
      <c r="R30" s="34">
        <v>3960</v>
      </c>
      <c r="S30" s="45">
        <v>1189</v>
      </c>
      <c r="T30" s="40">
        <f>SUM(B30:S30)</f>
        <v>83767</v>
      </c>
      <c r="U30" s="9"/>
      <c r="V30" s="1"/>
      <c r="W30" s="10"/>
    </row>
    <row r="31" spans="1:23" ht="15">
      <c r="A31" s="11"/>
      <c r="B31" s="58"/>
      <c r="C31" s="58"/>
      <c r="D31" s="58"/>
      <c r="E31" s="58"/>
      <c r="F31" s="58"/>
      <c r="G31" s="65"/>
      <c r="H31" s="65"/>
      <c r="I31" s="65"/>
      <c r="J31" s="65"/>
      <c r="K31" s="57"/>
      <c r="L31" s="57"/>
      <c r="M31" s="58"/>
      <c r="N31" s="58"/>
      <c r="O31" s="58"/>
      <c r="P31" s="58"/>
      <c r="Q31" s="58"/>
      <c r="R31" s="58"/>
      <c r="S31" s="66"/>
      <c r="T31" s="9"/>
      <c r="U31" s="9"/>
      <c r="V31" s="1"/>
      <c r="W31" s="10"/>
    </row>
    <row r="32" spans="1:13" ht="16.5" thickBot="1">
      <c r="A32" s="3" t="s">
        <v>62</v>
      </c>
      <c r="B32" s="3"/>
      <c r="C32" s="3"/>
      <c r="D32" s="3"/>
      <c r="E32" s="3"/>
      <c r="F32" s="3"/>
      <c r="G32" s="18"/>
      <c r="H32" s="18"/>
      <c r="I32" s="18"/>
      <c r="J32" s="1"/>
      <c r="K32" s="1"/>
      <c r="L32" s="1"/>
      <c r="M32" s="17"/>
    </row>
    <row r="33" spans="1:23" ht="65.25" thickBot="1">
      <c r="A33" s="4"/>
      <c r="B33" s="6" t="s">
        <v>6</v>
      </c>
      <c r="C33" s="6" t="s">
        <v>7</v>
      </c>
      <c r="D33" s="5" t="s">
        <v>8</v>
      </c>
      <c r="E33" s="6" t="s">
        <v>9</v>
      </c>
      <c r="F33" s="6" t="s">
        <v>10</v>
      </c>
      <c r="G33" s="6" t="s">
        <v>11</v>
      </c>
      <c r="H33" s="19" t="s">
        <v>12</v>
      </c>
      <c r="I33" s="26" t="s">
        <v>58</v>
      </c>
      <c r="J33" s="26" t="s">
        <v>57</v>
      </c>
      <c r="K33" s="26" t="s">
        <v>20</v>
      </c>
      <c r="L33" s="26" t="s">
        <v>21</v>
      </c>
      <c r="M33" s="59" t="s">
        <v>40</v>
      </c>
      <c r="N33" s="59" t="s">
        <v>41</v>
      </c>
      <c r="O33" s="60" t="s">
        <v>42</v>
      </c>
      <c r="P33" s="59" t="s">
        <v>43</v>
      </c>
      <c r="Q33" s="59" t="s">
        <v>44</v>
      </c>
      <c r="R33" s="55" t="s">
        <v>45</v>
      </c>
      <c r="S33" s="55" t="s">
        <v>46</v>
      </c>
      <c r="T33" s="55" t="s">
        <v>47</v>
      </c>
      <c r="U33" s="55" t="s">
        <v>48</v>
      </c>
      <c r="V33" s="41" t="s">
        <v>13</v>
      </c>
      <c r="W33" s="17"/>
    </row>
    <row r="34" spans="1:23" ht="15.75" thickBot="1">
      <c r="A34" s="27" t="s">
        <v>5</v>
      </c>
      <c r="B34" s="33">
        <v>15910</v>
      </c>
      <c r="C34" s="33">
        <v>11310</v>
      </c>
      <c r="D34" s="33">
        <v>12330</v>
      </c>
      <c r="E34" s="33">
        <v>14630</v>
      </c>
      <c r="F34" s="33">
        <v>6375</v>
      </c>
      <c r="G34" s="33">
        <v>15395</v>
      </c>
      <c r="H34" s="34">
        <v>7340</v>
      </c>
      <c r="I34" s="35">
        <v>2192</v>
      </c>
      <c r="J34" s="35">
        <v>6495</v>
      </c>
      <c r="K34" s="35">
        <v>5150</v>
      </c>
      <c r="L34" s="35">
        <v>2238</v>
      </c>
      <c r="M34" s="46">
        <v>17350</v>
      </c>
      <c r="N34" s="46">
        <v>9720</v>
      </c>
      <c r="O34" s="46">
        <v>7057</v>
      </c>
      <c r="P34" s="33">
        <v>11661</v>
      </c>
      <c r="Q34" s="33">
        <v>4755</v>
      </c>
      <c r="R34" s="33">
        <v>15930</v>
      </c>
      <c r="S34" s="33">
        <v>4620</v>
      </c>
      <c r="T34" s="33">
        <v>2980</v>
      </c>
      <c r="U34" s="47">
        <v>4260</v>
      </c>
      <c r="V34" s="42">
        <f>SUM(B34:U34)</f>
        <v>177698</v>
      </c>
      <c r="W34" s="17"/>
    </row>
    <row r="35" spans="1:12" ht="15">
      <c r="A35" s="20"/>
      <c r="B35" s="14"/>
      <c r="C35" s="14"/>
      <c r="D35" s="14"/>
      <c r="E35" s="14"/>
      <c r="F35" s="14"/>
      <c r="G35" s="14"/>
      <c r="H35" s="14"/>
      <c r="I35" s="14"/>
      <c r="J35" s="9"/>
      <c r="K35" s="9"/>
      <c r="L35" s="9"/>
    </row>
    <row r="36" spans="1:12" ht="36" customHeight="1" thickBot="1">
      <c r="A36" s="92" t="s">
        <v>61</v>
      </c>
      <c r="B36" s="92"/>
      <c r="C36" s="92"/>
      <c r="D36" s="92"/>
      <c r="E36" s="92"/>
      <c r="F36" s="92"/>
      <c r="G36" s="92"/>
      <c r="H36" s="92"/>
      <c r="I36" s="92"/>
      <c r="J36" s="92"/>
      <c r="K36" s="1"/>
      <c r="L36" s="1"/>
    </row>
    <row r="37" spans="1:17" ht="87" thickBot="1">
      <c r="A37" s="4"/>
      <c r="B37" s="22" t="s">
        <v>55</v>
      </c>
      <c r="C37" s="22" t="s">
        <v>56</v>
      </c>
      <c r="D37" s="26" t="s">
        <v>29</v>
      </c>
      <c r="E37" s="26" t="s">
        <v>22</v>
      </c>
      <c r="F37" s="22" t="s">
        <v>49</v>
      </c>
      <c r="G37" s="22" t="s">
        <v>50</v>
      </c>
      <c r="H37" s="22" t="s">
        <v>54</v>
      </c>
      <c r="I37" s="62" t="s">
        <v>52</v>
      </c>
      <c r="J37" s="62" t="s">
        <v>53</v>
      </c>
      <c r="K37" s="41" t="s">
        <v>4</v>
      </c>
      <c r="L37" s="1"/>
      <c r="M37" s="1"/>
      <c r="N37" s="1"/>
      <c r="O37" s="1"/>
      <c r="P37" s="1"/>
      <c r="Q37" s="1"/>
    </row>
    <row r="38" spans="1:17" ht="16.5" thickBot="1">
      <c r="A38" s="24" t="s">
        <v>26</v>
      </c>
      <c r="B38" s="32">
        <v>5700</v>
      </c>
      <c r="C38" s="32">
        <v>2973</v>
      </c>
      <c r="D38" s="28">
        <v>17778</v>
      </c>
      <c r="E38" s="32">
        <v>3097</v>
      </c>
      <c r="F38" s="63">
        <v>5025</v>
      </c>
      <c r="G38" s="63">
        <v>1468</v>
      </c>
      <c r="H38" s="63">
        <v>2674</v>
      </c>
      <c r="I38" s="49">
        <v>1896</v>
      </c>
      <c r="J38" s="50">
        <v>7856</v>
      </c>
      <c r="K38" s="42">
        <f>SUM(B38:J38)</f>
        <v>48467</v>
      </c>
      <c r="L38" s="1"/>
      <c r="M38" s="1"/>
      <c r="N38" s="1"/>
      <c r="O38" s="1"/>
      <c r="P38" s="1"/>
      <c r="Q38" s="1"/>
    </row>
    <row r="42" spans="2:8" ht="12.75">
      <c r="B42" s="1" t="s">
        <v>14</v>
      </c>
      <c r="C42" s="1"/>
      <c r="D42" s="1"/>
      <c r="E42" s="1"/>
      <c r="F42" s="1"/>
      <c r="G42" s="1"/>
      <c r="H42" s="1" t="s">
        <v>15</v>
      </c>
    </row>
  </sheetData>
  <sheetProtection/>
  <mergeCells count="3">
    <mergeCell ref="A5:J5"/>
    <mergeCell ref="A20:J20"/>
    <mergeCell ref="A36:J36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2021-10-12T06:05:26Z</cp:lastPrinted>
  <dcterms:created xsi:type="dcterms:W3CDTF">2016-12-13T09:18:45Z</dcterms:created>
  <dcterms:modified xsi:type="dcterms:W3CDTF">2021-12-16T13:51:50Z</dcterms:modified>
  <cp:category/>
  <cp:version/>
  <cp:contentType/>
  <cp:contentStatus/>
</cp:coreProperties>
</file>