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Pamatbudžets  pielik. Nr. 1" sheetId="1" r:id="rId1"/>
    <sheet name="Pamatbudžets  pielik. Nr. 2" sheetId="2" r:id="rId2"/>
  </sheets>
  <definedNames>
    <definedName name="_xlnm.Print_Titles" localSheetId="0">'Pamatbudžets  pielik. Nr. 1'!$7:$7</definedName>
    <definedName name="_xlnm.Print_Titles" localSheetId="1">'Pamatbudžets  pielik. Nr. 2'!$7:$7</definedName>
  </definedNames>
  <calcPr fullCalcOnLoad="1"/>
</workbook>
</file>

<file path=xl/sharedStrings.xml><?xml version="1.0" encoding="utf-8"?>
<sst xmlns="http://schemas.openxmlformats.org/spreadsheetml/2006/main" count="752" uniqueCount="709">
  <si>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</si>
  <si>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</si>
  <si>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</si>
  <si>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</si>
  <si>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</si>
  <si>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</si>
  <si>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</si>
  <si>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</si>
  <si>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</si>
  <si>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</si>
  <si>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</si>
  <si>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</si>
  <si>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</si>
  <si>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</si>
  <si>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</si>
  <si>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</si>
  <si>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</si>
  <si>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</si>
  <si>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</si>
  <si>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</si>
  <si>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</si>
  <si>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</si>
  <si>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</si>
  <si>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</si>
  <si>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</si>
  <si>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</si>
  <si>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</si>
  <si>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</si>
  <si>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</si>
  <si>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</si>
  <si>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</si>
  <si>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</si>
  <si>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</si>
  <si>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</si>
  <si>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</si>
  <si>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</si>
  <si>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</si>
  <si>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</si>
  <si>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</si>
  <si>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</si>
  <si>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</si>
  <si>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</si>
  <si>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</si>
  <si>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</si>
  <si>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</si>
  <si>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</si>
  <si>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</si>
  <si>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</si>
  <si>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</si>
  <si>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</si>
  <si>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</si>
  <si>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</si>
  <si>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</si>
  <si>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</si>
  <si>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</si>
  <si>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</si>
  <si>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</si>
  <si>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</si>
  <si>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</si>
  <si>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</si>
  <si>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</si>
  <si>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</si>
  <si>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</si>
  <si>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04.220</t>
  </si>
  <si>
    <t>Mežsaimniecība un medniecība</t>
  </si>
  <si>
    <t>04.510</t>
  </si>
  <si>
    <t>Autotransports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</si>
  <si>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</si>
  <si>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</si>
  <si>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</si>
  <si>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</si>
  <si>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</si>
  <si>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</si>
  <si>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</si>
  <si>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</si>
  <si>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</si>
  <si>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</si>
  <si>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</si>
  <si>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</si>
  <si>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</si>
  <si>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</si>
  <si>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</si>
  <si>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</si>
  <si>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</si>
  <si>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</si>
  <si>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</si>
  <si>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</si>
  <si>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</si>
  <si>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</si>
  <si>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</si>
  <si>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</si>
  <si>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</si>
  <si>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</si>
  <si>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</si>
  <si>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</si>
  <si>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</si>
  <si>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</si>
  <si>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</si>
  <si>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</si>
  <si>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</si>
  <si>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</si>
  <si>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09.510</t>
  </si>
  <si>
    <t>Interešu un profesionālās ievirzes izglītība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</si>
  <si>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</si>
  <si>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</si>
  <si>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</si>
  <si>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</si>
  <si>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</si>
  <si>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</si>
  <si>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</si>
  <si>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</si>
  <si>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</si>
  <si>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</si>
  <si>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</si>
  <si>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>PII " Strautiņš"</t>
  </si>
  <si>
    <t xml:space="preserve">Pozīcijas nosaukums             </t>
  </si>
  <si>
    <t>Ieņēmumi no iedzīvotāju ienākuma nodokļa</t>
  </si>
  <si>
    <t>4.0.0.0.</t>
  </si>
  <si>
    <t>Īpašuma nodokļi</t>
  </si>
  <si>
    <t>10.1.0.0.</t>
  </si>
  <si>
    <t>Naudas sodi</t>
  </si>
  <si>
    <t>19.1.0.0.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</si>
  <si>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</si>
  <si>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</si>
  <si>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</si>
  <si>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</si>
  <si>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</si>
  <si>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</si>
  <si>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</si>
  <si>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</si>
  <si>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</si>
  <si>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</si>
  <si>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</si>
  <si>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</si>
  <si>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</si>
  <si>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</si>
  <si>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</si>
  <si>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</si>
  <si>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</si>
  <si>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</si>
  <si>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</si>
  <si>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</si>
  <si>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</si>
  <si>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</si>
  <si>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</si>
  <si>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</si>
  <si>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</si>
  <si>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</si>
  <si>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</si>
  <si>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</si>
  <si>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</si>
  <si>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</si>
  <si>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</si>
  <si>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</si>
  <si>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</si>
  <si>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Atbalsts ģimenēm ar bērniem (Bāriņtiesas)</t>
  </si>
  <si>
    <t>18.6.0.0.</t>
  </si>
  <si>
    <t>Ogres sākumskola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</si>
  <si>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</si>
  <si>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</si>
  <si>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</si>
  <si>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</si>
  <si>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</si>
  <si>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</si>
  <si>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</si>
  <si>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</si>
  <si>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</si>
  <si>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</si>
  <si>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</si>
  <si>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</si>
  <si>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04.11101</t>
  </si>
  <si>
    <t>Uzņēmējdarbības  attīstības veicināšanai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</si>
  <si>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</si>
  <si>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</si>
  <si>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</si>
  <si>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</si>
  <si>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</si>
  <si>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</si>
  <si>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</si>
  <si>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</si>
  <si>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</si>
  <si>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</si>
  <si>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</si>
  <si>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</si>
  <si>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</si>
  <si>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</si>
  <si>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</si>
  <si>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</si>
  <si>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</si>
  <si>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</si>
  <si>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</si>
  <si>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</si>
  <si>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</si>
  <si>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</si>
  <si>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</si>
  <si>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</si>
  <si>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</si>
  <si>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</si>
  <si>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</si>
  <si>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</si>
  <si>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</si>
  <si>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</si>
  <si>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</si>
  <si>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</si>
  <si>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</si>
  <si>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</si>
  <si>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</si>
  <si>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</si>
  <si>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</si>
  <si>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</si>
  <si>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</si>
  <si>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</si>
  <si>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</si>
  <si>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</si>
  <si>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</si>
  <si>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</si>
  <si>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</si>
  <si>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</si>
  <si>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09.5101</t>
  </si>
  <si>
    <t>09.5102</t>
  </si>
  <si>
    <t>09.5103</t>
  </si>
  <si>
    <t>09.5106</t>
  </si>
  <si>
    <t>Pārējā citur neklasificētā izglītība (izglītības projektu realizācija)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</si>
  <si>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</si>
  <si>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</si>
  <si>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</si>
  <si>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</si>
  <si>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</si>
  <si>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</si>
  <si>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</si>
  <si>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</si>
  <si>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</si>
  <si>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</si>
  <si>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06.100</t>
  </si>
  <si>
    <t>Dabas resursu nodoklis</t>
  </si>
  <si>
    <t>03.200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</si>
  <si>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</si>
  <si>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</si>
  <si>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</si>
  <si>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</si>
  <si>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</si>
  <si>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</si>
  <si>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>Mājokļu apsaimniekošana</t>
  </si>
  <si>
    <t>Siltumapgāde</t>
  </si>
  <si>
    <t>08.29011</t>
  </si>
  <si>
    <t>Budžeta nodaļas vadītāja</t>
  </si>
  <si>
    <t>F20010000 AS</t>
  </si>
  <si>
    <t>F20010000 AB</t>
  </si>
  <si>
    <t>21.4.9.0</t>
  </si>
  <si>
    <t>Pārējie iepriekš neklasificētie pašu ieņēmumi</t>
  </si>
  <si>
    <t>05.1007</t>
  </si>
  <si>
    <t>06.1001</t>
  </si>
  <si>
    <t>08.1004</t>
  </si>
  <si>
    <t>09.82030</t>
  </si>
  <si>
    <t>Mācību, darba un dienesta komandējumi, dienesta, darba braucieni</t>
  </si>
  <si>
    <t>Kompensācijas, kuras izmaksā personām, pamatojoties uz Latvijas tiesu nolēmumiem</t>
  </si>
  <si>
    <t>10.70015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</si>
  <si>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</si>
  <si>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</si>
  <si>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</si>
  <si>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</si>
  <si>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07.4501</t>
  </si>
  <si>
    <t>08.2301</t>
  </si>
  <si>
    <t>10.70003</t>
  </si>
  <si>
    <t>Sociālā dienesta asistentu pakalpojumi</t>
  </si>
  <si>
    <t>01.83011</t>
  </si>
  <si>
    <t>03.2001</t>
  </si>
  <si>
    <t>04.11102</t>
  </si>
  <si>
    <t>04.11103</t>
  </si>
  <si>
    <t>04.4301</t>
  </si>
  <si>
    <t>05.30001</t>
  </si>
  <si>
    <t>05.4001</t>
  </si>
  <si>
    <t xml:space="preserve">Mājokļu attīstība </t>
  </si>
  <si>
    <t>06.2001</t>
  </si>
  <si>
    <t>07.2101</t>
  </si>
  <si>
    <t>08.29007</t>
  </si>
  <si>
    <t>10.70006</t>
  </si>
  <si>
    <t>Jauniešu garantijas ietvaros projekta "PROTI un DARI!" īstenošana</t>
  </si>
  <si>
    <t>06.60012</t>
  </si>
  <si>
    <t>08.2304</t>
  </si>
  <si>
    <t>08.300</t>
  </si>
  <si>
    <t>Apraides un izdevniecības pakalpojumi</t>
  </si>
  <si>
    <t>09.82001</t>
  </si>
  <si>
    <t>Karjeras atbalsts vispārējās un profesionālās izglītības iestādēs</t>
  </si>
  <si>
    <t>04.510010</t>
  </si>
  <si>
    <t>Atbalsts izglītojamo individuālo kompetenču attīstībai</t>
  </si>
  <si>
    <t>09.82039</t>
  </si>
  <si>
    <t>08.2101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</si>
  <si>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</si>
  <si>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</si>
  <si>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</si>
  <si>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</si>
  <si>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</si>
  <si>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</si>
  <si>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</si>
  <si>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</si>
  <si>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10.70016</t>
  </si>
  <si>
    <t>ERAF "Pakalpojumu infrastruktūras attīstība deinstitualizācijas plānu īstenošanai"</t>
  </si>
  <si>
    <t>Tūrisma informācijas centrs</t>
  </si>
  <si>
    <t>09.82002</t>
  </si>
  <si>
    <t>Atbalsts priekšlaicīgas mācību pārtraukšanas samazināšanai (Pumpurs)</t>
  </si>
  <si>
    <t>04.7301</t>
  </si>
  <si>
    <t>07.4502</t>
  </si>
  <si>
    <t>06.60022</t>
  </si>
  <si>
    <t>Energoefektivitātes pasākumi</t>
  </si>
  <si>
    <t>SIA Ogres namsaimnieks finansējums domes deliģēto funkciju izpildei</t>
  </si>
  <si>
    <t>Ieņēmumi par  dokumentu izsniegšanu un kancelejas pakalpojumiem</t>
  </si>
  <si>
    <t>01.6001</t>
  </si>
  <si>
    <t>Projektu pieteikumu izstrāde, tehniskās dokumentācijas sagatavošana</t>
  </si>
  <si>
    <t>Ielu tīrīšanai, atkritumu savākšanai,teritoriju labiekārtošanai</t>
  </si>
  <si>
    <t>06.3001</t>
  </si>
  <si>
    <t>Vispārējie ūdens apgādes izdevumi</t>
  </si>
  <si>
    <t>08.220</t>
  </si>
  <si>
    <t xml:space="preserve">    Kultūras centri, nami</t>
  </si>
  <si>
    <t>08.29012</t>
  </si>
  <si>
    <t>09.82003</t>
  </si>
  <si>
    <t>Latvijas Skolas Soma</t>
  </si>
  <si>
    <t>09.82005</t>
  </si>
  <si>
    <t xml:space="preserve">Erasmus + programmas projekts Nr.2018-1-PT01-KA229-047540 6 (ģimnāzija) </t>
  </si>
  <si>
    <t>09.82009</t>
  </si>
  <si>
    <t>Erasmus + programmas projekts Nr.2018-1-ES01-KA229-050191 3. Kultūra uz skatuves (ģimnāzija)</t>
  </si>
  <si>
    <t>09.82010</t>
  </si>
  <si>
    <t>Pārējās izglītības iestāžu pedagogu profesionālās kompetences  pilnveide (Ģimnāzija)</t>
  </si>
  <si>
    <t>10.70009</t>
  </si>
  <si>
    <t>Konkurss Vides pieejamības nodrošināšana invalīdiem</t>
  </si>
  <si>
    <t>ES projekts "Deinstitucionalizācija un sociālie pakalpojumi personām ar invaliditāti un bērniem"</t>
  </si>
  <si>
    <t>Erasmus+programmas projekts "ALLready a Success to School Life" (Pilnībā gatavs veiksmei skolā) Nr.2018-1-TR01-KA201-059716.Sākumsk.</t>
  </si>
  <si>
    <t>09.82011</t>
  </si>
  <si>
    <t>Ogres novada pašvaldības domes</t>
  </si>
  <si>
    <t>5.5.3.0.</t>
  </si>
  <si>
    <t>12.0.0.0.</t>
  </si>
  <si>
    <t>06.60026</t>
  </si>
  <si>
    <t>Ogres bijušās sanatorijas ieejas vestibils</t>
  </si>
  <si>
    <t>06.60027</t>
  </si>
  <si>
    <t>06.60028</t>
  </si>
  <si>
    <t>Zaļā tūrisma ceļu attīstība Latvijas un Krievijas pierobežas reģionā ” Greenways (Zaļais ceļš Rīga – Pleskava)LV-RU-006</t>
  </si>
  <si>
    <t>Finansējums bērniem, kuri apmeklē privātās pirmsskolas izglītības iestādes</t>
  </si>
  <si>
    <t>09.810</t>
  </si>
  <si>
    <t>Pārējā izglītības vadība (Izglītības pārvalde)</t>
  </si>
  <si>
    <t>10.400</t>
  </si>
  <si>
    <t>10.500</t>
  </si>
  <si>
    <t>09.5107</t>
  </si>
  <si>
    <t>Ogres Mūzikas un mākslas skola</t>
  </si>
  <si>
    <t>Erasmus programmas projekts Nr.2020-1-LV01-KA101-077352 Skolu mācību mobilitāte (ģimnāzija)</t>
  </si>
  <si>
    <t>09.82048</t>
  </si>
  <si>
    <t>Erasmus programmas projekts Nr.2020-1-PL01-KA229-081399 6 Es izaicinu vecumu ar sparu, (ģimnāzija)</t>
  </si>
  <si>
    <t>09.82050</t>
  </si>
  <si>
    <t>Erasmus programmas projekts Nr.2020-1-FR01-KA229-079905 2, Sagatavo mūs nākotnei, (ģimnāzija)</t>
  </si>
  <si>
    <t>09.82052</t>
  </si>
  <si>
    <t>Erasmus programmas projekts Nr.2020-1-TR01-KA229-093575 5 Atklāj patieso dzīvi, (ģimnāzija)</t>
  </si>
  <si>
    <t>09.82051</t>
  </si>
  <si>
    <t>Erasmus programmas projekts Nr.2020-1-TR01-KA229-093837 4, , (ģimnāzija)</t>
  </si>
  <si>
    <t>09.82053</t>
  </si>
  <si>
    <t>Erasmus programmas projekts Nr.2020-1-LV01-KA101-077362 Skolu mācību mobilitāte (Madlienas)</t>
  </si>
  <si>
    <t>09.82054</t>
  </si>
  <si>
    <t>06.60029</t>
  </si>
  <si>
    <t>Tirgus laukuma Suntažos uzturēšanai</t>
  </si>
  <si>
    <t>Reliģisko organizāciju un citu biedrību un nodibinājumu pakalpojumi (Sakrālā mantojuma saglabāšana)</t>
  </si>
  <si>
    <t>Civilās aizsardzības pasākumi (COVID-19 izdevumi)</t>
  </si>
  <si>
    <t>Finansējums bērniem, kuri apmeklē privātās izglītības iestādes</t>
  </si>
  <si>
    <t>09.21912</t>
  </si>
  <si>
    <t>Pārējie iepriekš neklasificētie vispārējie valdības dienesti (Vēlēšanas)</t>
  </si>
  <si>
    <t>09.82056</t>
  </si>
  <si>
    <t>04.51035</t>
  </si>
  <si>
    <t>Bumbieru ielas, Ogresgalā pārbūve</t>
  </si>
  <si>
    <t>05.30013</t>
  </si>
  <si>
    <t>Ogres pašvaldības ēkas Skolas ielā 12, Ogrē energoefektivitātes paaugstināšana izmantojot atjaunojamos energoresursus Projekta Nr. 4.2.2.0/20/I/009</t>
  </si>
  <si>
    <t>05.30014</t>
  </si>
  <si>
    <t>Ogresgala pagasta pirmsskolas izglītības iestādes “Ābelīte” energoefektivitātes pasākumi (atjaunošana)</t>
  </si>
  <si>
    <t>06.60030</t>
  </si>
  <si>
    <t>Bākas uz mola projektēšana un būvniecība</t>
  </si>
  <si>
    <t>09.82057</t>
  </si>
  <si>
    <t>09.82058</t>
  </si>
  <si>
    <t>Erasmus programmas projekts Nr.2020-1-DE03-KA229-077592 6, Eiropas ilgtspējīgas un pietiekamības skola, (1.VSK.)</t>
  </si>
  <si>
    <t>06.60031</t>
  </si>
  <si>
    <t>Projekts "Sugu un biotopu stāvokļa uzlabošanas pasākumi īpaši aizsargājamajā dabas teritorijā "Ogres ieleja""</t>
  </si>
  <si>
    <t>08.4001</t>
  </si>
  <si>
    <t>Birzgales muzejs "Rūķi"</t>
  </si>
  <si>
    <t>PII "Urdaviņa"</t>
  </si>
  <si>
    <t>PII "Čiekuriņš"</t>
  </si>
  <si>
    <t>Birzgales mūzikas skola</t>
  </si>
  <si>
    <t>Ķeguma SAC "Senliepas"</t>
  </si>
  <si>
    <t>10.900</t>
  </si>
  <si>
    <t>Pārējā citur neklasificētā sociālā aizsardzība</t>
  </si>
  <si>
    <t>Jumpravas pamatskola</t>
  </si>
  <si>
    <t>Valdemāra pamatskola</t>
  </si>
  <si>
    <t>Lielvārdes sporta centrs</t>
  </si>
  <si>
    <t>Lielvārdes Mūzikas un mākslas skola</t>
  </si>
  <si>
    <t>F55 01 00 10</t>
  </si>
  <si>
    <t>Valsts kases aizņēmumi</t>
  </si>
  <si>
    <t>06.60032</t>
  </si>
  <si>
    <t>08.29026</t>
  </si>
  <si>
    <t>Ivestīciju projekts "Esošās ēkas rekonstrukcija Taurupes muižas klēts pārbūve"</t>
  </si>
  <si>
    <t>Investīciju projekts "Inženierbūves atjaunošana" Zvaigžņu iela 11, Ogrē</t>
  </si>
  <si>
    <t>“Tūrisma, sporta un atpūtas komplekss“ ZILIE KALNI”</t>
  </si>
  <si>
    <t>Kultūras mantojuma centrs "Tīnūžu muiža"</t>
  </si>
  <si>
    <t>Projekts "Latvijas-Igaunijas Kopīgā Militārā Mantojuma Tūrisma Produkts""</t>
  </si>
  <si>
    <t>SIA Ikšķiles māja finansējums domes deliģēto funkciju izpildei</t>
  </si>
  <si>
    <t>Tīnūžu sākumskola</t>
  </si>
  <si>
    <t>Ikšķiles vidusskola</t>
  </si>
  <si>
    <t>Ikšķiles Mūzikas un mākslas skola</t>
  </si>
  <si>
    <t>Finansējums bērniem, kuri apmeklē privātās interešu izglītības iestādes</t>
  </si>
  <si>
    <t>PSIA "Ikšķiles māja" ieguldījums pamatkapitālā</t>
  </si>
  <si>
    <t>SIA "Lielvārdes Remte" ieguldījums pamatkapitālā</t>
  </si>
  <si>
    <t>Aģentūra “Tūrisma, sporta un atpūtas kompleksa “ZILIE KALNI” attīstības aģentūra"</t>
  </si>
  <si>
    <t>F40 02 00 20</t>
  </si>
  <si>
    <t xml:space="preserve">Aizņēmumu atmaksa        </t>
  </si>
  <si>
    <t>F40 02 00 10</t>
  </si>
  <si>
    <t>09.82061</t>
  </si>
  <si>
    <t>Atbalsts bērnu un jauniešu nometņu organizēšanai Ogres novada pašvaldības iestādēs</t>
  </si>
  <si>
    <t>04.51041</t>
  </si>
  <si>
    <t>04.51042</t>
  </si>
  <si>
    <t>04.51043</t>
  </si>
  <si>
    <t>"Madlienas ielas seguma atjaunošana un lietus ūdens kanalizācijas sistēmas izveide" realizācijai</t>
  </si>
  <si>
    <t>"Lauberes ielas seguma atjaunošana un lietus ūdens kanalizācijas sistēmas izveide" realizācijai</t>
  </si>
  <si>
    <t>"Bezdelīgu ielas seguma atjaunošana un lietus ūdens kanalizācijas sistēmas izveide" realizācijai</t>
  </si>
  <si>
    <t xml:space="preserve">   </t>
  </si>
  <si>
    <t>09.82064</t>
  </si>
  <si>
    <t>Sūkņu stacijas (Ogres vārti) projektēšana</t>
  </si>
  <si>
    <t>"Jauniešu māja" Brīvības 40, Ogrē pārbūve</t>
  </si>
  <si>
    <t>09.82065</t>
  </si>
  <si>
    <t xml:space="preserve">Projekts “Labbūtības ceļakartes aktivitāšu īstenošana Ogres novadā” īstenošanu </t>
  </si>
  <si>
    <t>04.51045</t>
  </si>
  <si>
    <t>09.21101</t>
  </si>
  <si>
    <t>09.82066</t>
  </si>
  <si>
    <t>Ogres novada pašvaldības 2022.gada pamatbudžeta ieņēmumi.</t>
  </si>
  <si>
    <t xml:space="preserve">Ogres,Ikšķiles,Ķeguma, Lielvārdes un to pagastu 2022.g. budžets </t>
  </si>
  <si>
    <t>Pašvald. aģentūras "Ogres komunikācijas" 2022.g. budžets</t>
  </si>
  <si>
    <t xml:space="preserve">Ogres novada Kultūras centrs 2022.g. budžets   </t>
  </si>
  <si>
    <t>Pašvald. aģentūras "Rosme" 2022.g. budžets</t>
  </si>
  <si>
    <t>Suntažu pagasta pārvaldes 2022.g. budžets</t>
  </si>
  <si>
    <t>Lauberes pagasta pārvaldes 2022.g. budžets</t>
  </si>
  <si>
    <t>Ķeipenes pagasta pārvaldes 2022.g. budžets</t>
  </si>
  <si>
    <t>Madlienas pagasta pārvaldes 2022.g. budžets</t>
  </si>
  <si>
    <t>Krapes pagasta pārvaldes 2022.g. budžets</t>
  </si>
  <si>
    <t>Mazozolu pagasta pārvaldes 2022.g. budžets</t>
  </si>
  <si>
    <t>Meņģeles pagasta pārvaldes 2022.g. budžets</t>
  </si>
  <si>
    <t>Taurupes pagasta pārvaldes 2022.g. budžets</t>
  </si>
  <si>
    <t>Ogres novada pašvaldības 2022.g. budžets</t>
  </si>
  <si>
    <t>Budžeta  atl.uz  01. 01. 2022.g.        F22010010</t>
  </si>
  <si>
    <t>Ogres novada pašvaldības 2022. gada pamatbudžeta  izdevumi atbilstoši funkcionālajām kategorijām.</t>
  </si>
  <si>
    <t>Pašvaldību budžetu valsts iekšējā parāda darījumi</t>
  </si>
  <si>
    <t>Norēķini ar citu pašvaldību izglītības iestādēm</t>
  </si>
  <si>
    <t>04.11104</t>
  </si>
  <si>
    <t>Madlienas tirgus būvniecība</t>
  </si>
  <si>
    <t xml:space="preserve">Ceļu būvniecībai un remontiem </t>
  </si>
  <si>
    <t>04.510011</t>
  </si>
  <si>
    <t>Ceļu būvniecībai un remontiem Ķegums (Tome un  Rembate)</t>
  </si>
  <si>
    <t>04.510012</t>
  </si>
  <si>
    <t>Ceļu būvniecībai un remontiem Ķeguma Birzgales pagasts</t>
  </si>
  <si>
    <t>04.510013</t>
  </si>
  <si>
    <t>Ceļu būvniecībai un remontiem Lielvārde</t>
  </si>
  <si>
    <t>04.510014</t>
  </si>
  <si>
    <t xml:space="preserve">Ceļu būvniecībai un remontiem Lielvārdes Lēdmanes pagasts </t>
  </si>
  <si>
    <t>04.510015</t>
  </si>
  <si>
    <t>Ceļu būvniecībai un remontiem Lielvārdes Jumpravas pagasts</t>
  </si>
  <si>
    <t>04.510016</t>
  </si>
  <si>
    <t xml:space="preserve">Ceļu būvniecībai un remontiem Ikšķile </t>
  </si>
  <si>
    <t>Dubkalnu ezeri ceļa pārbūve</t>
  </si>
  <si>
    <t>04.51047</t>
  </si>
  <si>
    <t>Lielvārdes pilsētas Rembates ielas, Stacijas ielas, Uzvaras ielas, Andreja Pumpura ielas, Avotu un Meža ielas posmu projektēšanai un pašvaldības līdzfinansējums būvniecībai</t>
  </si>
  <si>
    <t>04.51049</t>
  </si>
  <si>
    <t>Ietves izbūve Jāņa Čakstes prospekta posmā no Mazās Ķentes ielas līdz Skalbju ielai, Ogrē projektēšana un autoruzraudzība</t>
  </si>
  <si>
    <t>04.51050</t>
  </si>
  <si>
    <t>Vēju ielas seguma atjaunošana un lietus ūdens kanalizācijas sistēmas izveide būvprojekta izstrāde un autoruzraudzība</t>
  </si>
  <si>
    <t>04.51051</t>
  </si>
  <si>
    <t>Saules prospekta, Ogrē pārbūves būvprojekta izstrāde, autoruzraudzība un būvniecība</t>
  </si>
  <si>
    <t>04.51052</t>
  </si>
  <si>
    <t>Strēlnieku prospekta (no Dārza ielas līdz Jāņa Čakstes prospektam), Ogrē pārbūves būvprojekta izstrāde un autoruzraudzība</t>
  </si>
  <si>
    <t>04.51053</t>
  </si>
  <si>
    <t xml:space="preserve">Rotācijas apļu, Ogrē izbūves būvprojekta izstrāde un autoruzraudzība </t>
  </si>
  <si>
    <t>04.51054</t>
  </si>
  <si>
    <t>Skolas ielas (no Pirts ielas līdz Jaunogres prospektam), Ogrē pārbūves būvprojekta izstrāde un autoruzraudzība</t>
  </si>
  <si>
    <t>04.51055</t>
  </si>
  <si>
    <t>Veloceliņa uz Lielvārdi projektēšana</t>
  </si>
  <si>
    <t>04.7302</t>
  </si>
  <si>
    <t>04.7303</t>
  </si>
  <si>
    <t>04.7304</t>
  </si>
  <si>
    <t>Koncesija atkritumu apsaimniekošana</t>
  </si>
  <si>
    <t xml:space="preserve">Lietus ūdens kanalizācija </t>
  </si>
  <si>
    <t>Notekūdeņu (savākšana un attīrīšana)</t>
  </si>
  <si>
    <t>05.30015</t>
  </si>
  <si>
    <t>Vides piesārņojuma novēršana un samazināšana Ikšķilē</t>
  </si>
  <si>
    <t>05.30016</t>
  </si>
  <si>
    <t>Vides piesārņojuma novēršana un samazināšana Ķegumā</t>
  </si>
  <si>
    <t>05.30017</t>
  </si>
  <si>
    <t>Ēkas Skolas ielā 4, Ikšķilē, energoefektivitātes uzlabošana un pārbūve par pašvaldības daudzfunkcionālu pakalpojumu centru</t>
  </si>
  <si>
    <t>Ikšķile</t>
  </si>
  <si>
    <t>Kapu saimniecība</t>
  </si>
  <si>
    <t>Projektu konkurss "Veidojam vidi ap mums Ogres novadā"</t>
  </si>
  <si>
    <t>Īpašumu uzmērīšanai un reģistrēšanai Zemesgrāmatā</t>
  </si>
  <si>
    <t>Pārējie izdevumi</t>
  </si>
  <si>
    <t>Nevalstisko organizāciju projektu atbalstam</t>
  </si>
  <si>
    <t>Saimniecības nodaļa</t>
  </si>
  <si>
    <t>Pašvaldības teritoriju labiekārtošana</t>
  </si>
  <si>
    <t>06.600121</t>
  </si>
  <si>
    <t>Ogres pilsētā un Ogresgala pārvaldē</t>
  </si>
  <si>
    <t>06.600122</t>
  </si>
  <si>
    <t>Lēdmanes pārvaldē</t>
  </si>
  <si>
    <t>06.600123</t>
  </si>
  <si>
    <t>Jumpravas pārvaldē</t>
  </si>
  <si>
    <t>06.600124</t>
  </si>
  <si>
    <t>Lielvārdes pārvaldē</t>
  </si>
  <si>
    <t>06.600125</t>
  </si>
  <si>
    <t>Birzgale pārvaldē</t>
  </si>
  <si>
    <t>06.600126</t>
  </si>
  <si>
    <t>Tomes pārvaldē</t>
  </si>
  <si>
    <t>06.600127</t>
  </si>
  <si>
    <t>Rembates pārvaldē</t>
  </si>
  <si>
    <t>06.600128</t>
  </si>
  <si>
    <t>Ķeguma pārvaldē</t>
  </si>
  <si>
    <t>06.600129</t>
  </si>
  <si>
    <t>Ikšķiles pārvaldē</t>
  </si>
  <si>
    <t>06.60024</t>
  </si>
  <si>
    <t>SIA Lielvārdes Remte- finansējums domes deliģētās funkcijas izpildei</t>
  </si>
  <si>
    <t>06.60025</t>
  </si>
  <si>
    <t>SIA Ķeguma Stars- finansējums domes deliģētās funkcijas izpildei</t>
  </si>
  <si>
    <t>06.60036</t>
  </si>
  <si>
    <t>Kompleksu apsaimniekošanas pasākumu īstenošana NATURA 2000 teritorijā dabas parkā "Ogres ieleja"</t>
  </si>
  <si>
    <t>06.60037</t>
  </si>
  <si>
    <t xml:space="preserve">Lietus ūdens novadīšana ar zaļās infrastruktūras risinājumiem teritorijā pie Tomes Tautas nama  </t>
  </si>
  <si>
    <t>06.60038</t>
  </si>
  <si>
    <t>Multifunkcionāla aktīvās atpūtas un sporta laukuma projektēšana un 1. kārtas (pumptrack) būvniecība Ķegumā</t>
  </si>
  <si>
    <t>06.60039</t>
  </si>
  <si>
    <t>Aprīkojuma iegāde vides pieejamībai Ogres vecupei cilvēkiem ar īpašām vajadzībām</t>
  </si>
  <si>
    <t>06.60040</t>
  </si>
  <si>
    <t>Lielvārdes parka un apkaimes attīstība (projektēšana)</t>
  </si>
  <si>
    <t>06.60041</t>
  </si>
  <si>
    <t xml:space="preserve">E.Kauliņa skulptūra, muzikālais soliņš </t>
  </si>
  <si>
    <t>06.60042</t>
  </si>
  <si>
    <t>Āra trenažieru - sportistu iesildīšanās zonas Ogres stadionā izbūve, II kārta</t>
  </si>
  <si>
    <t>06.60034</t>
  </si>
  <si>
    <t>Sabiedrības līdzdalības projektu konkurss</t>
  </si>
  <si>
    <t xml:space="preserve">Ģimenes ārstu prakse </t>
  </si>
  <si>
    <t>SAM 9.2.4.2. Pasākumi vietējās sabiedrības slimību profilaksei un veselības veicināšanai</t>
  </si>
  <si>
    <t xml:space="preserve">Veselības veicināšanas pasākumiem </t>
  </si>
  <si>
    <t>07.4503</t>
  </si>
  <si>
    <t xml:space="preserve">ES projekta Nr.9.3.2.0/20/A/088 “Primārās veselības aprūpes infrastruktūras un materiāltehniskā nodrošinājuma uzlabošana Lielvārdes poliklīnikā, A.Kauliņas un L.Rancānes ārsta praksēs” </t>
  </si>
  <si>
    <t>07.4504</t>
  </si>
  <si>
    <t>Pakalpojumu infrastruktūras attīstība deinstitucionalizācijas plānu īstenošanai Vienošanās Nr. 9.3.1.1/19/I/023</t>
  </si>
  <si>
    <t>Struktūrvienība peldbaseins  "Neptūns"</t>
  </si>
  <si>
    <t>08.210</t>
  </si>
  <si>
    <t>Ogres centrālā bibliotēka</t>
  </si>
  <si>
    <t>08.2102</t>
  </si>
  <si>
    <t>Pagastu bibliotēkas</t>
  </si>
  <si>
    <t>08.2103</t>
  </si>
  <si>
    <t>Ikšķiles pilsētas bibliotēka</t>
  </si>
  <si>
    <t>08.2104</t>
  </si>
  <si>
    <t>Tīnūžu bibliotēka</t>
  </si>
  <si>
    <t>08.2105</t>
  </si>
  <si>
    <t>Ķeguma pilsētas bibliotēka (tai skaitā Ķegums, Tome, Rembate)</t>
  </si>
  <si>
    <t>08.2106</t>
  </si>
  <si>
    <t>Birzgales bibliotēka</t>
  </si>
  <si>
    <t>08.2107</t>
  </si>
  <si>
    <t>Jumpravas bibliotēka</t>
  </si>
  <si>
    <t>08.2108</t>
  </si>
  <si>
    <t>Lēdmanes bibliotēka</t>
  </si>
  <si>
    <t>08.2109</t>
  </si>
  <si>
    <t>Lielvārdes pilsētas, Lāčplēša bibliotēka</t>
  </si>
  <si>
    <t>Ogres vēstures un mākslas muzejs</t>
  </si>
  <si>
    <t>Sudrabu Edžus memoriālā istaba</t>
  </si>
  <si>
    <t>08.2205</t>
  </si>
  <si>
    <t>A. Pumpura Lielvārdes muzejs</t>
  </si>
  <si>
    <t>08.2206</t>
  </si>
  <si>
    <t>08.2207</t>
  </si>
  <si>
    <t>Ķeguma novada muzejs</t>
  </si>
  <si>
    <t>Kultūras centri - tautas nami</t>
  </si>
  <si>
    <t>08.2302</t>
  </si>
  <si>
    <t>Finansējums  "Ogres novada kultūras centrs"</t>
  </si>
  <si>
    <t>Komunikāciju centrs Ķeipenē</t>
  </si>
  <si>
    <t>Ikšķiles tautas nams</t>
  </si>
  <si>
    <t>08.2305</t>
  </si>
  <si>
    <t>Tīnūžu tautas nams</t>
  </si>
  <si>
    <t>08.2306</t>
  </si>
  <si>
    <t>Lielvārdes kultūras centrs (tai skaitā Jumpravas un Lēdmanes)</t>
  </si>
  <si>
    <t>08.2307</t>
  </si>
  <si>
    <t>Ķeguma tautas nams</t>
  </si>
  <si>
    <t>08.2308</t>
  </si>
  <si>
    <t>Birzgales tautas nams</t>
  </si>
  <si>
    <t>08.2309</t>
  </si>
  <si>
    <t>Rembates tautas nams</t>
  </si>
  <si>
    <t>08.2310</t>
  </si>
  <si>
    <t>Tomes tautas nams</t>
  </si>
  <si>
    <t>Kultūras aktivitātes / pasākumi</t>
  </si>
  <si>
    <t>Pilsētas dekorēšana svētkiem</t>
  </si>
  <si>
    <t>Papildus aktivitātes  Ogres novada pašvaldības iestādēs (vasaras nometnes)</t>
  </si>
  <si>
    <t>Projektu konkurss RADI Ogres novadam (Kultūras, sporta un izglītības pasākumi, mācības, kursi)</t>
  </si>
  <si>
    <t>08.29027</t>
  </si>
  <si>
    <t>Ķeguma Dienas centrs</t>
  </si>
  <si>
    <t>08.29028</t>
  </si>
  <si>
    <t>Tomes  Dienas  centrs</t>
  </si>
  <si>
    <t>08.29029</t>
  </si>
  <si>
    <t xml:space="preserve">Ikškiles brīvdabas skatuves jumta projektēšana </t>
  </si>
  <si>
    <t>08.29030</t>
  </si>
  <si>
    <t>Andreja Pumpura pieminekļa atjaunošana Birzgalē</t>
  </si>
  <si>
    <t>08.29031</t>
  </si>
  <si>
    <t>Ēkas ''Viļņi" pārbūve Ķeipenē</t>
  </si>
  <si>
    <t>08.29032</t>
  </si>
  <si>
    <t>Būvprojekta "Muzikālais teātris" izstrāde</t>
  </si>
  <si>
    <t>09.10012</t>
  </si>
  <si>
    <t>09.10013</t>
  </si>
  <si>
    <t>09.10014</t>
  </si>
  <si>
    <t xml:space="preserve">PII "Gaismiņa"   </t>
  </si>
  <si>
    <t>09.10015</t>
  </si>
  <si>
    <t xml:space="preserve">PII "Birztaliņa"   </t>
  </si>
  <si>
    <t>09.10016</t>
  </si>
  <si>
    <t xml:space="preserve"> VPII "Pūt vējiņi"   </t>
  </si>
  <si>
    <t>09.21102</t>
  </si>
  <si>
    <t xml:space="preserve">Ogresgala pamatskola </t>
  </si>
  <si>
    <t>09.21913</t>
  </si>
  <si>
    <t>09.21914</t>
  </si>
  <si>
    <t xml:space="preserve">Birzgales pamatskola   </t>
  </si>
  <si>
    <t>09.21915</t>
  </si>
  <si>
    <t xml:space="preserve">Lielvārdes pamatskola </t>
  </si>
  <si>
    <t>09.21916</t>
  </si>
  <si>
    <t xml:space="preserve">Lēdmanes pamatskola </t>
  </si>
  <si>
    <t>09.21917</t>
  </si>
  <si>
    <t>09.21918</t>
  </si>
  <si>
    <t>09.21919</t>
  </si>
  <si>
    <t xml:space="preserve">Edkara Kauliņa Lielvārdes vidusskola </t>
  </si>
  <si>
    <t>09.21920</t>
  </si>
  <si>
    <t>09.5108</t>
  </si>
  <si>
    <t>09.5109</t>
  </si>
  <si>
    <t>09.5110</t>
  </si>
  <si>
    <t>09.610</t>
  </si>
  <si>
    <t>Izglītojamo pārvadājumu pakalpojumi</t>
  </si>
  <si>
    <t>09.6101</t>
  </si>
  <si>
    <t>09.620</t>
  </si>
  <si>
    <t>Izglītojamo ēdināšanas pakalpojumi</t>
  </si>
  <si>
    <t>09.6201</t>
  </si>
  <si>
    <t>Ēdināšanas izmaksu kompensācijas PII</t>
  </si>
  <si>
    <t>09.6202</t>
  </si>
  <si>
    <t>Ēdināšana skolās, tai skatā (1.-4.kl.)</t>
  </si>
  <si>
    <t>09.630</t>
  </si>
  <si>
    <t>Izglītojamo izmitināšanas pakalpojumi</t>
  </si>
  <si>
    <t>09.640</t>
  </si>
  <si>
    <t>Izglītojamo pārējie papildu pakalpojumi</t>
  </si>
  <si>
    <t>Sadarbībā ar Rīgas tehnisko universitāti, BJU interešu izglītības nodarbības un ekskursijas</t>
  </si>
  <si>
    <t>09.82012</t>
  </si>
  <si>
    <t>ERASMUS+"A.L.C.H.M.I.A" PROJEKTS Nr.2020-1-FI01-KA227-SCH-092716 Lielvārdes Mūzikas un mākslas skola</t>
  </si>
  <si>
    <t>09.82013</t>
  </si>
  <si>
    <t>Erasmus programmas projekts Nr.2019-1-ES01-KA229-064176-4 Edgara Kauliņa Lielvārdes vidusskola</t>
  </si>
  <si>
    <t>09.82014</t>
  </si>
  <si>
    <t>Erasmus programmas projekts Nr.2019-1-F101-KA229 060699 3, Skolu apmaiņas partnerība, Ikšķiles vidussk.</t>
  </si>
  <si>
    <t>09.82015</t>
  </si>
  <si>
    <t>Erasmus programmas projekts Nr.2020-1-LV01-KA229-077484-1, Get into the Green Scene Jumpravas pamatsk.</t>
  </si>
  <si>
    <t>09.82016</t>
  </si>
  <si>
    <t>Erasmus programmas projekts Nr.2020-1-AT01-KA229-078145-3, Our Password 21st Century Skills, Jumpravas pamatsk.</t>
  </si>
  <si>
    <t>09.82017</t>
  </si>
  <si>
    <t>Erasmus programmas projekts Nr.2020-1-PL01-KA229-081470-4, Peaceful Schools with Anger-free Classes, Jumpravas pamatsk.</t>
  </si>
  <si>
    <t>09.82018</t>
  </si>
  <si>
    <t>Erasmus programmas projekts Nr.2020-1-FR01-KA229-080395-3, Healthy Mind, Body and Environment, Jumpravas pamatsk</t>
  </si>
  <si>
    <t>09.82019</t>
  </si>
  <si>
    <t>Erasmus programmas projekts Nr.2020-1-EE01-KA229-077961-4, See-Our Nature!, Jumpravas pamatsk.</t>
  </si>
  <si>
    <t>09.82020</t>
  </si>
  <si>
    <t>Erasmus+ 2020-2-LV02-KA347-003434 "The power of youth - Shaking the Present, Building the Future"</t>
  </si>
  <si>
    <t>09.82021</t>
  </si>
  <si>
    <t>Erasmus+ 2020-1-LV02-KA205-003145 "Cross-sectorial cooperation for reaching out to the youth"</t>
  </si>
  <si>
    <t>09.82022</t>
  </si>
  <si>
    <t>Jaunas VPII ēkas būvniecība pie Lielvārdes pamatskolas</t>
  </si>
  <si>
    <t>09.82024</t>
  </si>
  <si>
    <t>Ogres novada pašvaldības jaunatnes iniciatīvu projektu konkurss "Jauniešu iespējas"</t>
  </si>
  <si>
    <t>8.1.2.SAM "Uzlabot vispārējās izglītības iestāžu mācību vidi Ogres novadā"</t>
  </si>
  <si>
    <t>Jaunu Pašvaldības pakalpojumu sniegšanas veidu attīstība</t>
  </si>
  <si>
    <t>Erasmus programmas projekts Nr.2020-1-TR01-KA229-092959 4, Tīņi domātāji, (sākumskola)</t>
  </si>
  <si>
    <t>ERASMUS proj. Sociālā uzņēmējdarbība Eiropā, 1. vsk.</t>
  </si>
  <si>
    <t>09.82067</t>
  </si>
  <si>
    <t>Valsts programmas projekta “Skolēns skolēnam” Nr. VP2021/5-26 (1.vsk.)</t>
  </si>
  <si>
    <t>09.82068</t>
  </si>
  <si>
    <t>Birzgales pamatskolas sporta stadiona būvniecība+būvuzraudzība</t>
  </si>
  <si>
    <t>10.70017</t>
  </si>
  <si>
    <t>ES projektā “Ģimenes asistentu pakalpojuma aprobācija”, projekta Nr. 9.2.1.1/15/I/001)</t>
  </si>
  <si>
    <t>Ogres novada pašvaldības 2022. gada pamatbudžeta  izdevumi atbilstoši ekonomiskajām kategorijām.</t>
  </si>
  <si>
    <t xml:space="preserve">Ogres novada Kultūras centrs 2022.g. budžets    </t>
  </si>
  <si>
    <t>10.920</t>
  </si>
  <si>
    <t>04.51056</t>
  </si>
  <si>
    <t>Pārējie citur neklasificētie sociālās aizsardzības pasākumi ( Ukrainas civiliedzīvotāju atbalstam)</t>
  </si>
  <si>
    <t>Madlienas pagasta autoceļš A1 posmā Aveni-Šūšeni</t>
  </si>
  <si>
    <t>06.60017</t>
  </si>
  <si>
    <t>04.51057</t>
  </si>
  <si>
    <t xml:space="preserve"> Sporta pasākumu rīkošanai </t>
  </si>
  <si>
    <t xml:space="preserve">Komandas vai individuālu sacensību dalībnieku atbalstam </t>
  </si>
  <si>
    <t>Kaibalas skolas pārbūve par pirmsskolas izglītības iestādi</t>
  </si>
  <si>
    <t>09.82071</t>
  </si>
  <si>
    <t>04.51058</t>
  </si>
  <si>
    <t>Investīciju projekts "Inženierbūves atjaunošana" Zvaigžņu iela 9" piebraucamais ceļš</t>
  </si>
  <si>
    <t>Investīciju projekts "Priedaines ielas Ikšķilē pārbūve"</t>
  </si>
  <si>
    <t>08.29033</t>
  </si>
  <si>
    <t>Investīciju projekts "Būvdarbu veikšana objektam "Estrāde", Jumprava, Jumpravas pagasts, Ogres novads</t>
  </si>
  <si>
    <t>09.82073</t>
  </si>
  <si>
    <t>09.82074</t>
  </si>
  <si>
    <t>SIA "Zelta Liepa Debesu Bļodā" ieguldījums pamatkapitālā</t>
  </si>
  <si>
    <t>09.21921</t>
  </si>
  <si>
    <t>Ogres centra pamatskola</t>
  </si>
  <si>
    <t>05.2003</t>
  </si>
  <si>
    <t>Meliorācijas sistēmu pārbūve Ogres novada Ogresgala pagasta Ciemupes ciema Zvejnieku, Celmlaužu, Daugavas un Krasta ielas rajonā</t>
  </si>
  <si>
    <t>Ķeguma vidusskola</t>
  </si>
  <si>
    <t>Pašvaldības sociālā stipendija vispārējās vidējās izglītības iestāžu izglītojamajiem</t>
  </si>
  <si>
    <t>Pašvaldības stipendija studējošiem pedagogiem</t>
  </si>
  <si>
    <t>09.82075</t>
  </si>
  <si>
    <t>Erasmus programmas projekts Nr.2022-1-LV01-KA121-SCH-000059464, Mācību mobilitāte skolu sektorā, (ģimnāzija)</t>
  </si>
  <si>
    <t>10.921</t>
  </si>
  <si>
    <t>Mājsaimniecībām energoresursu izmaksu pieauguma daļēja kompensācija</t>
  </si>
  <si>
    <t>Pārējie sabiedriskās kārtības un drošības pakalpojumi (Video novērošanai)</t>
  </si>
  <si>
    <t>09.82072</t>
  </si>
  <si>
    <t>ERASMUS projekts mācību mobilitāte skolu sektorā (Madliena)</t>
  </si>
  <si>
    <t>08.4002</t>
  </si>
  <si>
    <t>Atbalsts sakrālo celtņu energoresursu izmaksu pieauguma daļējai kompensācijai</t>
  </si>
  <si>
    <t>27.10.2022. Saistošajiem noteikumiem Nr.24/2022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</si>
</sst>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[Red]\-#,##0\ &quot;Ls&quot;"/>
    <numFmt numFmtId="179" formatCode="_-* #,##0\ &quot;Ls&quot;_-;\-* #,##0\ &quot;Ls&quot;_-;_-* &quot;-&quot;\ &quot;Ls&quot;_-;_-@_-"/>
    <numFmt numFmtId="180" formatCode="_-* #,##0\ _L_s_-;\-* #,##0\ _L_s_-;_-* &quot;-&quot;\ _L_s_-;_-@_-"/>
    <numFmt numFmtId="181" formatCode="_-* #,##0.00\ &quot;Ls&quot;_-;\-* #,##0.00\ &quot;Ls&quot;_-;_-* &quot;-&quot;??\ &quot;Ls&quot;_-;_-@_-"/>
    <numFmt numFmtId="182" formatCode="_-* #,##0.00\ _L_s_-;\-* #,##0.00\ _L_s_-;_-* &quot;-&quot;??\ _L_s_-;_-@_-"/>
    <numFmt numFmtId="183" formatCode="0.0"/>
    <numFmt numFmtId="184" formatCode="0.000"/>
    <numFmt numFmtId="185" formatCode="0.0%"/>
    <numFmt numFmtId="186" formatCode="#,##0.0"/>
    <numFmt numFmtId="187" formatCode="#,##0.000"/>
    <numFmt numFmtId="188" formatCode="#,##0_);\(#,##0\)"/>
    <numFmt numFmtId="189" formatCode="#,##0_ ;[Red]\-#,##0\ 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3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0"/>
      <color rgb="FF0070C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2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1" xfId="58" applyFont="1" applyBorder="1" applyAlignment="1">
      <alignment horizontal="left" wrapText="1"/>
      <protection/>
    </xf>
    <xf numFmtId="0" fontId="4" fillId="0" borderId="12" xfId="58" applyFont="1" applyBorder="1" applyAlignment="1">
      <alignment horizontal="left" wrapText="1"/>
      <protection/>
    </xf>
    <xf numFmtId="3" fontId="4" fillId="0" borderId="10" xfId="0" applyNumberFormat="1" applyFont="1" applyBorder="1" applyAlignment="1">
      <alignment horizontal="left" wrapText="1"/>
    </xf>
    <xf numFmtId="3" fontId="4" fillId="25" borderId="10" xfId="0" applyNumberFormat="1" applyFont="1" applyFill="1" applyBorder="1" applyAlignment="1">
      <alignment/>
    </xf>
    <xf numFmtId="0" fontId="4" fillId="0" borderId="0" xfId="57" applyFont="1" applyAlignment="1">
      <alignment wrapText="1"/>
      <protection/>
    </xf>
    <xf numFmtId="0" fontId="4" fillId="0" borderId="10" xfId="65" applyFont="1" applyBorder="1" applyAlignment="1">
      <alignment wrapText="1"/>
      <protection/>
    </xf>
    <xf numFmtId="49" fontId="5" fillId="0" borderId="13" xfId="65" applyNumberFormat="1" applyFont="1" applyBorder="1" applyAlignment="1">
      <alignment horizontal="right"/>
      <protection/>
    </xf>
    <xf numFmtId="49" fontId="4" fillId="0" borderId="13" xfId="65" applyNumberFormat="1" applyFont="1" applyBorder="1" applyAlignment="1">
      <alignment horizontal="right"/>
      <protection/>
    </xf>
    <xf numFmtId="49" fontId="4" fillId="0" borderId="14" xfId="65" applyNumberFormat="1" applyFont="1" applyBorder="1" applyAlignment="1">
      <alignment horizontal="right"/>
      <protection/>
    </xf>
    <xf numFmtId="0" fontId="24" fillId="0" borderId="10" xfId="58" applyFont="1" applyBorder="1" applyAlignment="1">
      <alignment horizontal="left" wrapText="1"/>
      <protection/>
    </xf>
    <xf numFmtId="0" fontId="24" fillId="25" borderId="10" xfId="58" applyFont="1" applyFill="1" applyBorder="1" applyAlignment="1">
      <alignment horizontal="left" wrapText="1"/>
      <protection/>
    </xf>
    <xf numFmtId="0" fontId="24" fillId="0" borderId="15" xfId="58" applyFont="1" applyBorder="1" applyAlignment="1">
      <alignment horizontal="left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6" xfId="61" applyFont="1" applyFill="1" applyBorder="1" applyAlignment="1">
      <alignment vertical="center" wrapText="1"/>
      <protection/>
    </xf>
    <xf numFmtId="3" fontId="4" fillId="0" borderId="10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0" fontId="4" fillId="0" borderId="15" xfId="58" applyFont="1" applyFill="1" applyBorder="1" applyAlignment="1">
      <alignment horizontal="left" wrapText="1"/>
      <protection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57" applyFont="1" applyFill="1" applyBorder="1" applyAlignment="1" applyProtection="1">
      <alignment horizontal="center" vertical="center" wrapText="1"/>
      <protection/>
    </xf>
    <xf numFmtId="3" fontId="5" fillId="0" borderId="2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/>
    </xf>
    <xf numFmtId="3" fontId="4" fillId="25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wrapText="1"/>
    </xf>
    <xf numFmtId="3" fontId="4" fillId="0" borderId="29" xfId="0" applyNumberFormat="1" applyFont="1" applyFill="1" applyBorder="1" applyAlignment="1">
      <alignment/>
    </xf>
    <xf numFmtId="3" fontId="4" fillId="25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wrapText="1"/>
    </xf>
    <xf numFmtId="3" fontId="4" fillId="25" borderId="2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left"/>
    </xf>
    <xf numFmtId="3" fontId="4" fillId="0" borderId="35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wrapText="1"/>
    </xf>
    <xf numFmtId="3" fontId="4" fillId="0" borderId="36" xfId="0" applyNumberFormat="1" applyFont="1" applyFill="1" applyBorder="1" applyAlignment="1">
      <alignment/>
    </xf>
    <xf numFmtId="3" fontId="4" fillId="24" borderId="37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wrapText="1"/>
    </xf>
    <xf numFmtId="3" fontId="5" fillId="0" borderId="25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left" wrapText="1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25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40" xfId="60" applyNumberFormat="1" applyFont="1" applyFill="1" applyBorder="1" applyAlignment="1">
      <alignment horizontal="center" vertical="center" wrapText="1"/>
      <protection/>
    </xf>
    <xf numFmtId="3" fontId="4" fillId="0" borderId="16" xfId="61" applyNumberFormat="1" applyFont="1" applyFill="1" applyBorder="1" applyAlignment="1">
      <alignment vertical="center" wrapText="1"/>
      <protection/>
    </xf>
    <xf numFmtId="3" fontId="4" fillId="0" borderId="22" xfId="61" applyNumberFormat="1" applyFont="1" applyFill="1" applyBorder="1" applyAlignment="1">
      <alignment vertical="center" wrapText="1"/>
      <protection/>
    </xf>
    <xf numFmtId="3" fontId="5" fillId="0" borderId="21" xfId="57" applyNumberFormat="1" applyFont="1" applyFill="1" applyBorder="1" applyAlignment="1" applyProtection="1">
      <alignment horizontal="center" vertical="center" wrapText="1"/>
      <protection/>
    </xf>
    <xf numFmtId="3" fontId="5" fillId="0" borderId="2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 wrapText="1"/>
    </xf>
    <xf numFmtId="3" fontId="4" fillId="25" borderId="19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5" fillId="25" borderId="11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4" fillId="25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wrapText="1"/>
    </xf>
    <xf numFmtId="3" fontId="4" fillId="0" borderId="28" xfId="58" applyNumberFormat="1" applyFont="1" applyFill="1" applyBorder="1" applyAlignment="1">
      <alignment horizontal="left" wrapText="1"/>
      <protection/>
    </xf>
    <xf numFmtId="3" fontId="5" fillId="0" borderId="15" xfId="65" applyNumberFormat="1" applyFont="1" applyBorder="1" applyAlignment="1">
      <alignment wrapText="1"/>
      <protection/>
    </xf>
    <xf numFmtId="3" fontId="5" fillId="0" borderId="3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/>
    </xf>
    <xf numFmtId="3" fontId="4" fillId="0" borderId="10" xfId="58" applyNumberFormat="1" applyFont="1" applyFill="1" applyBorder="1" applyAlignment="1">
      <alignment horizontal="left" wrapText="1"/>
      <protection/>
    </xf>
    <xf numFmtId="49" fontId="4" fillId="0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 horizontal="left" wrapText="1"/>
    </xf>
    <xf numFmtId="3" fontId="5" fillId="0" borderId="45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right"/>
    </xf>
    <xf numFmtId="3" fontId="4" fillId="0" borderId="12" xfId="58" applyNumberFormat="1" applyFont="1" applyFill="1" applyBorder="1" applyAlignment="1">
      <alignment horizontal="left" wrapText="1"/>
      <protection/>
    </xf>
    <xf numFmtId="3" fontId="4" fillId="0" borderId="3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left" wrapText="1"/>
    </xf>
    <xf numFmtId="3" fontId="4" fillId="25" borderId="10" xfId="65" applyNumberFormat="1" applyFont="1" applyFill="1" applyBorder="1" applyAlignment="1">
      <alignment horizontal="left" wrapText="1"/>
      <protection/>
    </xf>
    <xf numFmtId="3" fontId="4" fillId="0" borderId="28" xfId="0" applyNumberFormat="1" applyFont="1" applyBorder="1" applyAlignment="1">
      <alignment horizontal="left" wrapText="1"/>
    </xf>
    <xf numFmtId="3" fontId="5" fillId="0" borderId="28" xfId="0" applyNumberFormat="1" applyFont="1" applyBorder="1" applyAlignment="1">
      <alignment horizontal="left" wrapText="1"/>
    </xf>
    <xf numFmtId="3" fontId="5" fillId="25" borderId="19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 horizontal="left"/>
    </xf>
    <xf numFmtId="3" fontId="5" fillId="0" borderId="47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wrapText="1"/>
    </xf>
    <xf numFmtId="3" fontId="5" fillId="0" borderId="49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4" fillId="0" borderId="14" xfId="65" applyNumberFormat="1" applyFont="1" applyBorder="1" applyAlignment="1">
      <alignment horizontal="right"/>
      <protection/>
    </xf>
    <xf numFmtId="3" fontId="4" fillId="0" borderId="10" xfId="58" applyNumberFormat="1" applyFont="1" applyBorder="1" applyAlignment="1">
      <alignment horizontal="left" wrapText="1"/>
      <protection/>
    </xf>
    <xf numFmtId="3" fontId="24" fillId="0" borderId="10" xfId="58" applyNumberFormat="1" applyFont="1" applyBorder="1" applyAlignment="1">
      <alignment horizontal="left" wrapText="1"/>
      <protection/>
    </xf>
    <xf numFmtId="3" fontId="24" fillId="0" borderId="15" xfId="58" applyNumberFormat="1" applyFont="1" applyBorder="1" applyAlignment="1">
      <alignment horizontal="left" wrapText="1"/>
      <protection/>
    </xf>
    <xf numFmtId="3" fontId="24" fillId="0" borderId="28" xfId="58" applyNumberFormat="1" applyFont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left" wrapText="1"/>
    </xf>
    <xf numFmtId="3" fontId="4" fillId="0" borderId="10" xfId="59" applyNumberFormat="1" applyFont="1" applyFill="1" applyBorder="1" applyAlignment="1">
      <alignment horizontal="left" wrapText="1"/>
      <protection/>
    </xf>
    <xf numFmtId="3" fontId="5" fillId="0" borderId="51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wrapText="1"/>
    </xf>
    <xf numFmtId="3" fontId="4" fillId="0" borderId="0" xfId="57" applyNumberFormat="1" applyFont="1" applyFill="1" applyBorder="1" applyAlignment="1">
      <alignment horizontal="left" wrapText="1"/>
      <protection/>
    </xf>
    <xf numFmtId="3" fontId="27" fillId="0" borderId="0" xfId="0" applyNumberFormat="1" applyFont="1" applyFill="1" applyBorder="1" applyAlignment="1">
      <alignment horizontal="right" wrapText="1"/>
    </xf>
    <xf numFmtId="3" fontId="2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3" fontId="2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62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Alignment="1">
      <alignment/>
    </xf>
    <xf numFmtId="3" fontId="4" fillId="0" borderId="0" xfId="62" applyNumberFormat="1" applyFont="1" applyFill="1" applyAlignment="1">
      <alignment horizontal="lef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1" fontId="5" fillId="0" borderId="0" xfId="0" applyNumberFormat="1" applyFont="1" applyFill="1" applyAlignment="1">
      <alignment/>
    </xf>
    <xf numFmtId="0" fontId="4" fillId="0" borderId="10" xfId="58" applyFont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0" fontId="30" fillId="0" borderId="10" xfId="65" applyFont="1" applyBorder="1" applyAlignment="1">
      <alignment horizontal="left" wrapText="1"/>
      <protection/>
    </xf>
    <xf numFmtId="0" fontId="4" fillId="0" borderId="22" xfId="61" applyFont="1" applyFill="1" applyBorder="1" applyAlignment="1">
      <alignment vertical="center" wrapText="1"/>
      <protection/>
    </xf>
    <xf numFmtId="3" fontId="1" fillId="0" borderId="19" xfId="0" applyNumberFormat="1" applyFont="1" applyFill="1" applyBorder="1" applyAlignment="1">
      <alignment/>
    </xf>
    <xf numFmtId="0" fontId="4" fillId="0" borderId="10" xfId="59" applyFont="1" applyFill="1" applyBorder="1" applyAlignment="1">
      <alignment horizontal="left" wrapText="1"/>
      <protection/>
    </xf>
    <xf numFmtId="1" fontId="4" fillId="0" borderId="24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0" fontId="4" fillId="0" borderId="28" xfId="58" applyFont="1" applyFill="1" applyBorder="1" applyAlignment="1">
      <alignment horizontal="left" wrapText="1"/>
      <protection/>
    </xf>
    <xf numFmtId="0" fontId="31" fillId="0" borderId="10" xfId="65" applyFont="1" applyBorder="1" applyAlignment="1">
      <alignment horizontal="left" wrapText="1"/>
      <protection/>
    </xf>
    <xf numFmtId="3" fontId="4" fillId="0" borderId="37" xfId="0" applyNumberFormat="1" applyFont="1" applyFill="1" applyBorder="1" applyAlignment="1">
      <alignment/>
    </xf>
    <xf numFmtId="49" fontId="5" fillId="0" borderId="27" xfId="65" applyNumberFormat="1" applyFont="1" applyBorder="1" applyAlignment="1">
      <alignment horizontal="right"/>
      <protection/>
    </xf>
    <xf numFmtId="0" fontId="5" fillId="0" borderId="12" xfId="58" applyFont="1" applyBorder="1" applyAlignment="1">
      <alignment horizontal="left" wrapText="1"/>
      <protection/>
    </xf>
    <xf numFmtId="0" fontId="4" fillId="0" borderId="12" xfId="58" applyFont="1" applyFill="1" applyBorder="1" applyAlignment="1">
      <alignment wrapText="1"/>
      <protection/>
    </xf>
    <xf numFmtId="3" fontId="5" fillId="0" borderId="13" xfId="65" applyNumberFormat="1" applyFont="1" applyBorder="1" applyAlignment="1">
      <alignment horizontal="right"/>
      <protection/>
    </xf>
    <xf numFmtId="3" fontId="5" fillId="0" borderId="10" xfId="65" applyNumberFormat="1" applyFont="1" applyBorder="1" applyAlignment="1">
      <alignment wrapText="1"/>
      <protection/>
    </xf>
    <xf numFmtId="3" fontId="5" fillId="0" borderId="53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4" fillId="0" borderId="15" xfId="65" applyNumberFormat="1" applyFont="1" applyBorder="1" applyAlignment="1">
      <alignment wrapText="1"/>
      <protection/>
    </xf>
    <xf numFmtId="3" fontId="4" fillId="0" borderId="10" xfId="65" applyNumberFormat="1" applyFont="1" applyBorder="1" applyAlignment="1">
      <alignment wrapText="1"/>
      <protection/>
    </xf>
    <xf numFmtId="3" fontId="5" fillId="0" borderId="38" xfId="0" applyNumberFormat="1" applyFont="1" applyFill="1" applyBorder="1" applyAlignment="1">
      <alignment/>
    </xf>
    <xf numFmtId="0" fontId="4" fillId="0" borderId="56" xfId="61" applyFont="1" applyFill="1" applyBorder="1" applyAlignment="1">
      <alignment vertical="center" wrapText="1"/>
      <protection/>
    </xf>
    <xf numFmtId="49" fontId="4" fillId="0" borderId="13" xfId="65" applyNumberFormat="1" applyFont="1" applyFill="1" applyBorder="1" applyAlignment="1">
      <alignment horizontal="right"/>
      <protection/>
    </xf>
    <xf numFmtId="3" fontId="4" fillId="0" borderId="25" xfId="0" applyNumberFormat="1" applyFont="1" applyFill="1" applyBorder="1" applyAlignment="1">
      <alignment wrapText="1"/>
    </xf>
    <xf numFmtId="49" fontId="5" fillId="0" borderId="13" xfId="65" applyNumberFormat="1" applyFont="1" applyFill="1" applyBorder="1" applyAlignment="1">
      <alignment horizontal="right"/>
      <protection/>
    </xf>
    <xf numFmtId="3" fontId="4" fillId="25" borderId="1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1" fontId="4" fillId="0" borderId="24" xfId="0" applyNumberFormat="1" applyFont="1" applyBorder="1" applyAlignment="1">
      <alignment/>
    </xf>
    <xf numFmtId="3" fontId="5" fillId="0" borderId="37" xfId="0" applyNumberFormat="1" applyFont="1" applyFill="1" applyBorder="1" applyAlignment="1">
      <alignment wrapText="1"/>
    </xf>
    <xf numFmtId="3" fontId="25" fillId="0" borderId="18" xfId="0" applyNumberFormat="1" applyFont="1" applyBorder="1" applyAlignment="1">
      <alignment wrapText="1"/>
    </xf>
    <xf numFmtId="3" fontId="36" fillId="0" borderId="17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3" fontId="5" fillId="0" borderId="33" xfId="65" applyNumberFormat="1" applyFont="1" applyBorder="1" applyAlignment="1">
      <alignment horizontal="right"/>
      <protection/>
    </xf>
    <xf numFmtId="3" fontId="5" fillId="25" borderId="34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wrapText="1"/>
    </xf>
    <xf numFmtId="3" fontId="37" fillId="0" borderId="19" xfId="0" applyNumberFormat="1" applyFont="1" applyFill="1" applyBorder="1" applyAlignment="1">
      <alignment/>
    </xf>
    <xf numFmtId="3" fontId="4" fillId="25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25" borderId="17" xfId="0" applyNumberFormat="1" applyFont="1" applyFill="1" applyBorder="1" applyAlignment="1">
      <alignment horizontal="right"/>
    </xf>
    <xf numFmtId="3" fontId="36" fillId="0" borderId="17" xfId="0" applyNumberFormat="1" applyFont="1" applyFill="1" applyBorder="1" applyAlignment="1">
      <alignment horizontal="right"/>
    </xf>
    <xf numFmtId="3" fontId="5" fillId="25" borderId="19" xfId="0" applyNumberFormat="1" applyFont="1" applyFill="1" applyBorder="1" applyAlignment="1">
      <alignment horizontal="right"/>
    </xf>
    <xf numFmtId="3" fontId="37" fillId="0" borderId="19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horizontal="right"/>
    </xf>
    <xf numFmtId="3" fontId="4" fillId="25" borderId="12" xfId="0" applyNumberFormat="1" applyFont="1" applyFill="1" applyBorder="1" applyAlignment="1">
      <alignment horizontal="right" wrapText="1"/>
    </xf>
    <xf numFmtId="0" fontId="31" fillId="0" borderId="10" xfId="65" applyFont="1" applyFill="1" applyBorder="1" applyAlignment="1">
      <alignment horizontal="left" wrapText="1"/>
      <protection/>
    </xf>
    <xf numFmtId="49" fontId="4" fillId="0" borderId="13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wrapText="1"/>
    </xf>
    <xf numFmtId="3" fontId="3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3" fontId="4" fillId="0" borderId="19" xfId="58" applyNumberFormat="1" applyFont="1" applyFill="1" applyBorder="1" applyAlignment="1">
      <alignment horizontal="left" wrapText="1"/>
      <protection/>
    </xf>
    <xf numFmtId="3" fontId="4" fillId="0" borderId="13" xfId="65" applyNumberFormat="1" applyFont="1" applyBorder="1" applyAlignment="1">
      <alignment horizontal="right"/>
      <protection/>
    </xf>
    <xf numFmtId="3" fontId="4" fillId="0" borderId="15" xfId="59" applyNumberFormat="1" applyFont="1" applyFill="1" applyBorder="1" applyAlignment="1">
      <alignment horizontal="left" wrapText="1"/>
      <protection/>
    </xf>
    <xf numFmtId="3" fontId="38" fillId="0" borderId="0" xfId="57" applyNumberFormat="1" applyFont="1" applyFill="1" applyBorder="1" applyAlignment="1">
      <alignment horizontal="right" wrapText="1"/>
      <protection/>
    </xf>
    <xf numFmtId="3" fontId="35" fillId="0" borderId="0" xfId="0" applyNumberFormat="1" applyFont="1" applyFill="1" applyAlignment="1">
      <alignment/>
    </xf>
    <xf numFmtId="0" fontId="4" fillId="0" borderId="57" xfId="61" applyFont="1" applyFill="1" applyBorder="1" applyAlignment="1">
      <alignment vertical="center" wrapText="1"/>
      <protection/>
    </xf>
    <xf numFmtId="49" fontId="4" fillId="0" borderId="0" xfId="65" applyNumberFormat="1" applyFont="1" applyFill="1" applyBorder="1" applyAlignment="1">
      <alignment horizontal="right"/>
      <protection/>
    </xf>
    <xf numFmtId="3" fontId="4" fillId="0" borderId="15" xfId="58" applyNumberFormat="1" applyFont="1" applyFill="1" applyBorder="1" applyAlignment="1">
      <alignment horizontal="left" wrapText="1"/>
      <protection/>
    </xf>
    <xf numFmtId="0" fontId="28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49" fontId="4" fillId="0" borderId="14" xfId="65" applyNumberFormat="1" applyFont="1" applyFill="1" applyBorder="1" applyAlignment="1">
      <alignment horizontal="right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3" fontId="5" fillId="0" borderId="19" xfId="0" applyNumberFormat="1" applyFont="1" applyBorder="1" applyAlignment="1">
      <alignment wrapText="1"/>
    </xf>
    <xf numFmtId="169" fontId="4" fillId="0" borderId="51" xfId="0" applyNumberFormat="1" applyFont="1" applyFill="1" applyBorder="1" applyAlignment="1">
      <alignment/>
    </xf>
    <xf numFmtId="169" fontId="4" fillId="0" borderId="19" xfId="0" applyNumberFormat="1" applyFont="1" applyFill="1" applyBorder="1" applyAlignment="1">
      <alignment/>
    </xf>
    <xf numFmtId="3" fontId="4" fillId="25" borderId="10" xfId="0" applyNumberFormat="1" applyFont="1" applyFill="1" applyBorder="1" applyAlignment="1">
      <alignment wrapText="1"/>
    </xf>
    <xf numFmtId="3" fontId="28" fillId="0" borderId="58" xfId="0" applyNumberFormat="1" applyFont="1" applyFill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.g plāns apst 3" xfId="57"/>
    <cellStyle name="Normal_PROJEKTI_2016_PLĀNS_Aija un Inese" xfId="58"/>
    <cellStyle name="Normal_PROJEKTI_2016_PLĀNS_Aija un Inese 2" xfId="59"/>
    <cellStyle name="Normal_Sheet1" xfId="60"/>
    <cellStyle name="Normal_Sheet1_Pielikumi oktobra korekcijam 2" xfId="61"/>
    <cellStyle name="Normal_Specbudz.kopsavilkums 2006.g un korekc. 2" xfId="62"/>
    <cellStyle name="Note" xfId="63"/>
    <cellStyle name="Output" xfId="64"/>
    <cellStyle name="Parasts 2" xfId="65"/>
    <cellStyle name="Parasts 2 2" xfId="66"/>
    <cellStyle name="Parasts 2_2016.g. Ieņēmumu un izdevumu plāns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4"/>
  <sheetViews>
    <sheetView tabSelected="1" zoomScale="82" zoomScaleNormal="82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2" sqref="L2"/>
    </sheetView>
  </sheetViews>
  <sheetFormatPr defaultColWidth="9.140625" defaultRowHeight="12.75" outlineLevelRow="1"/>
  <cols>
    <col min="1" max="1" width="13.28125" style="22" customWidth="1"/>
    <col min="2" max="2" width="41.00390625" style="178" customWidth="1"/>
    <col min="3" max="3" width="13.8515625" style="22" customWidth="1"/>
    <col min="4" max="4" width="10.00390625" style="22" customWidth="1"/>
    <col min="5" max="5" width="11.421875" style="22" customWidth="1"/>
    <col min="6" max="6" width="9.8515625" style="22" customWidth="1"/>
    <col min="7" max="7" width="11.8515625" style="22" customWidth="1"/>
    <col min="8" max="8" width="9.00390625" style="22" customWidth="1"/>
    <col min="9" max="9" width="10.00390625" style="22" customWidth="1"/>
    <col min="10" max="10" width="10.7109375" style="22" customWidth="1"/>
    <col min="11" max="11" width="8.8515625" style="22" customWidth="1"/>
    <col min="12" max="12" width="9.7109375" style="22" customWidth="1"/>
    <col min="13" max="13" width="9.28125" style="22" customWidth="1"/>
    <col min="14" max="14" width="9.57421875" style="22" customWidth="1"/>
    <col min="15" max="15" width="10.28125" style="22" customWidth="1"/>
    <col min="16" max="16" width="13.00390625" style="182" customWidth="1"/>
    <col min="17" max="17" width="12.28125" style="182" customWidth="1"/>
    <col min="18" max="18" width="12.421875" style="182" customWidth="1"/>
    <col min="19" max="19" width="8.421875" style="22" customWidth="1"/>
    <col min="20" max="20" width="12.57421875" style="22" customWidth="1"/>
    <col min="21" max="16384" width="9.140625" style="22" customWidth="1"/>
  </cols>
  <sheetData>
    <row r="1" spans="4:15" ht="15" outlineLevel="1">
      <c r="D1" s="181" t="s">
        <v>416</v>
      </c>
      <c r="E1" s="181"/>
      <c r="F1" s="181"/>
      <c r="O1" s="21" t="s">
        <v>10</v>
      </c>
    </row>
    <row r="2" spans="1:15" ht="15" outlineLevel="1">
      <c r="A2" s="183"/>
      <c r="D2" s="183"/>
      <c r="E2" s="183"/>
      <c r="F2" s="183"/>
      <c r="O2" s="21" t="s">
        <v>328</v>
      </c>
    </row>
    <row r="3" spans="1:15" ht="15" outlineLevel="1">
      <c r="A3" s="183"/>
      <c r="D3" s="183"/>
      <c r="E3" s="183"/>
      <c r="F3" s="183"/>
      <c r="O3" s="21" t="s">
        <v>708</v>
      </c>
    </row>
    <row r="4" ht="15" outlineLevel="1"/>
    <row r="5" spans="1:3" ht="20.25" outlineLevel="1">
      <c r="A5" s="271" t="s">
        <v>425</v>
      </c>
      <c r="B5" s="271"/>
      <c r="C5" s="271"/>
    </row>
    <row r="6" spans="1:14" ht="15.75" thickBot="1">
      <c r="A6" s="183"/>
      <c r="B6" s="184"/>
      <c r="C6" s="183"/>
      <c r="M6" s="185"/>
      <c r="N6" s="185"/>
    </row>
    <row r="7" spans="1:20" ht="135.75" customHeight="1" thickBot="1">
      <c r="A7" s="35" t="s">
        <v>9</v>
      </c>
      <c r="B7" s="36" t="s">
        <v>115</v>
      </c>
      <c r="C7" s="38" t="s">
        <v>426</v>
      </c>
      <c r="D7" s="275" t="s">
        <v>427</v>
      </c>
      <c r="E7" s="37" t="s">
        <v>428</v>
      </c>
      <c r="F7" s="37" t="s">
        <v>429</v>
      </c>
      <c r="G7" s="23" t="s">
        <v>430</v>
      </c>
      <c r="H7" s="23" t="s">
        <v>431</v>
      </c>
      <c r="I7" s="23" t="s">
        <v>432</v>
      </c>
      <c r="J7" s="23" t="s">
        <v>433</v>
      </c>
      <c r="K7" s="23" t="s">
        <v>434</v>
      </c>
      <c r="L7" s="23" t="s">
        <v>435</v>
      </c>
      <c r="M7" s="23" t="s">
        <v>436</v>
      </c>
      <c r="N7" s="203" t="s">
        <v>437</v>
      </c>
      <c r="O7" s="226" t="s">
        <v>404</v>
      </c>
      <c r="P7" s="39" t="s">
        <v>438</v>
      </c>
      <c r="Q7" s="198"/>
      <c r="R7" s="198"/>
      <c r="S7" s="9"/>
      <c r="T7" s="9"/>
    </row>
    <row r="8" spans="1:20" ht="15.75" thickBot="1">
      <c r="A8" s="40"/>
      <c r="B8" s="41" t="s">
        <v>21</v>
      </c>
      <c r="C8" s="42">
        <f aca="true" t="shared" si="0" ref="C8:P8">C9+C10+C15+C16</f>
        <v>50150622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113850</v>
      </c>
      <c r="H8" s="42">
        <f t="shared" si="0"/>
        <v>51911</v>
      </c>
      <c r="I8" s="42">
        <f t="shared" si="0"/>
        <v>45000</v>
      </c>
      <c r="J8" s="42">
        <f t="shared" si="0"/>
        <v>110834</v>
      </c>
      <c r="K8" s="42">
        <f t="shared" si="0"/>
        <v>68500</v>
      </c>
      <c r="L8" s="42">
        <f t="shared" si="0"/>
        <v>50000</v>
      </c>
      <c r="M8" s="42">
        <f t="shared" si="0"/>
        <v>49890</v>
      </c>
      <c r="N8" s="42">
        <f t="shared" si="0"/>
        <v>77100</v>
      </c>
      <c r="O8" s="42">
        <f t="shared" si="0"/>
        <v>0</v>
      </c>
      <c r="P8" s="42">
        <f t="shared" si="0"/>
        <v>50717707</v>
      </c>
      <c r="Q8" s="170"/>
      <c r="R8" s="170"/>
      <c r="S8" s="186"/>
      <c r="T8" s="186"/>
    </row>
    <row r="9" spans="1:20" ht="15">
      <c r="A9" s="45" t="s">
        <v>22</v>
      </c>
      <c r="B9" s="46" t="s">
        <v>116</v>
      </c>
      <c r="C9" s="19">
        <f>44678593+736623+1237247-5955</f>
        <v>46646508</v>
      </c>
      <c r="D9" s="19"/>
      <c r="E9" s="19"/>
      <c r="F9" s="50"/>
      <c r="G9" s="19"/>
      <c r="H9" s="19"/>
      <c r="I9" s="19"/>
      <c r="J9" s="19"/>
      <c r="K9" s="19"/>
      <c r="L9" s="19"/>
      <c r="M9" s="19"/>
      <c r="N9" s="19"/>
      <c r="O9" s="220"/>
      <c r="P9" s="48">
        <f aca="true" t="shared" si="1" ref="P9:P29">SUM(C9:O9)</f>
        <v>46646508</v>
      </c>
      <c r="Q9" s="170"/>
      <c r="R9" s="170"/>
      <c r="S9" s="180"/>
      <c r="T9" s="186"/>
    </row>
    <row r="10" spans="1:20" ht="15">
      <c r="A10" s="51" t="s">
        <v>117</v>
      </c>
      <c r="B10" s="24" t="s">
        <v>118</v>
      </c>
      <c r="C10" s="19">
        <f>C11</f>
        <v>3374159</v>
      </c>
      <c r="D10" s="19"/>
      <c r="E10" s="19"/>
      <c r="F10" s="50"/>
      <c r="G10" s="19">
        <f>G11</f>
        <v>113850</v>
      </c>
      <c r="H10" s="52">
        <f aca="true" t="shared" si="2" ref="H10:O10">H11</f>
        <v>51911</v>
      </c>
      <c r="I10" s="52">
        <f t="shared" si="2"/>
        <v>45000</v>
      </c>
      <c r="J10" s="52">
        <f t="shared" si="2"/>
        <v>110834</v>
      </c>
      <c r="K10" s="52">
        <f t="shared" si="2"/>
        <v>68500</v>
      </c>
      <c r="L10" s="52">
        <f t="shared" si="2"/>
        <v>50000</v>
      </c>
      <c r="M10" s="52">
        <f t="shared" si="2"/>
        <v>49890</v>
      </c>
      <c r="N10" s="52">
        <f t="shared" si="2"/>
        <v>77100</v>
      </c>
      <c r="O10" s="86">
        <f t="shared" si="2"/>
        <v>0</v>
      </c>
      <c r="P10" s="48">
        <f t="shared" si="1"/>
        <v>3941244</v>
      </c>
      <c r="Q10" s="170"/>
      <c r="R10" s="170"/>
      <c r="S10" s="180"/>
      <c r="T10" s="186"/>
    </row>
    <row r="11" spans="1:20" ht="15">
      <c r="A11" s="51" t="s">
        <v>23</v>
      </c>
      <c r="B11" s="24" t="s">
        <v>24</v>
      </c>
      <c r="C11" s="19">
        <f>SUM(C12:C14)</f>
        <v>3374159</v>
      </c>
      <c r="D11" s="19"/>
      <c r="E11" s="19"/>
      <c r="F11" s="50"/>
      <c r="G11" s="19">
        <f>SUM(G12:G14)</f>
        <v>113850</v>
      </c>
      <c r="H11" s="19">
        <f aca="true" t="shared" si="3" ref="H11:O11">SUM(H12:H14)</f>
        <v>51911</v>
      </c>
      <c r="I11" s="19">
        <f t="shared" si="3"/>
        <v>45000</v>
      </c>
      <c r="J11" s="19">
        <f t="shared" si="3"/>
        <v>110834</v>
      </c>
      <c r="K11" s="19">
        <f t="shared" si="3"/>
        <v>68500</v>
      </c>
      <c r="L11" s="19">
        <f t="shared" si="3"/>
        <v>50000</v>
      </c>
      <c r="M11" s="19">
        <f t="shared" si="3"/>
        <v>49890</v>
      </c>
      <c r="N11" s="19">
        <f>SUM(N12:N14)</f>
        <v>77100</v>
      </c>
      <c r="O11" s="86">
        <f t="shared" si="3"/>
        <v>0</v>
      </c>
      <c r="P11" s="48">
        <f t="shared" si="1"/>
        <v>3941244</v>
      </c>
      <c r="Q11" s="170"/>
      <c r="R11" s="170"/>
      <c r="S11" s="180"/>
      <c r="T11" s="186"/>
    </row>
    <row r="12" spans="1:20" ht="15">
      <c r="A12" s="49" t="s">
        <v>11</v>
      </c>
      <c r="B12" s="24" t="s">
        <v>25</v>
      </c>
      <c r="C12" s="53">
        <f>2146926-183000</f>
        <v>1963926</v>
      </c>
      <c r="D12" s="52"/>
      <c r="E12" s="52"/>
      <c r="F12" s="19"/>
      <c r="G12" s="206">
        <v>97500</v>
      </c>
      <c r="H12" s="52">
        <v>45230</v>
      </c>
      <c r="I12" s="52">
        <v>40000</v>
      </c>
      <c r="J12" s="52">
        <v>98133</v>
      </c>
      <c r="K12" s="19">
        <v>58000</v>
      </c>
      <c r="L12" s="232">
        <v>45800</v>
      </c>
      <c r="M12" s="207">
        <v>46923</v>
      </c>
      <c r="N12" s="54">
        <v>71400</v>
      </c>
      <c r="O12" s="220"/>
      <c r="P12" s="48">
        <f t="shared" si="1"/>
        <v>2466912</v>
      </c>
      <c r="Q12" s="170"/>
      <c r="R12" s="170"/>
      <c r="S12" s="180"/>
      <c r="T12" s="186"/>
    </row>
    <row r="13" spans="1:20" ht="15">
      <c r="A13" s="49" t="s">
        <v>12</v>
      </c>
      <c r="B13" s="24" t="s">
        <v>26</v>
      </c>
      <c r="C13" s="52">
        <f>651626+38106</f>
        <v>689732</v>
      </c>
      <c r="D13" s="52"/>
      <c r="E13" s="52"/>
      <c r="F13" s="19"/>
      <c r="G13" s="206">
        <v>4950</v>
      </c>
      <c r="H13" s="52">
        <v>2950</v>
      </c>
      <c r="I13" s="52">
        <v>2200</v>
      </c>
      <c r="J13" s="52">
        <v>4886</v>
      </c>
      <c r="K13" s="19">
        <v>10500</v>
      </c>
      <c r="L13" s="232">
        <v>1400</v>
      </c>
      <c r="M13" s="206">
        <v>892</v>
      </c>
      <c r="N13" s="54">
        <v>500</v>
      </c>
      <c r="O13" s="220"/>
      <c r="P13" s="48">
        <f t="shared" si="1"/>
        <v>718010</v>
      </c>
      <c r="Q13" s="170"/>
      <c r="R13" s="170"/>
      <c r="S13" s="180"/>
      <c r="T13" s="186"/>
    </row>
    <row r="14" spans="1:20" ht="15">
      <c r="A14" s="49" t="s">
        <v>158</v>
      </c>
      <c r="B14" s="24" t="s">
        <v>159</v>
      </c>
      <c r="C14" s="53">
        <f>537501+183000</f>
        <v>720501</v>
      </c>
      <c r="D14" s="52"/>
      <c r="E14" s="52"/>
      <c r="F14" s="19"/>
      <c r="G14" s="206">
        <v>11400</v>
      </c>
      <c r="H14" s="52">
        <v>3731</v>
      </c>
      <c r="I14" s="19">
        <v>2800</v>
      </c>
      <c r="J14" s="52">
        <v>7815</v>
      </c>
      <c r="K14" s="52"/>
      <c r="L14" s="232">
        <v>2800</v>
      </c>
      <c r="M14" s="206">
        <v>2075</v>
      </c>
      <c r="N14" s="54">
        <v>5200</v>
      </c>
      <c r="O14" s="220"/>
      <c r="P14" s="48">
        <f t="shared" si="1"/>
        <v>756322</v>
      </c>
      <c r="Q14" s="170"/>
      <c r="R14" s="170"/>
      <c r="S14" s="180"/>
      <c r="T14" s="186"/>
    </row>
    <row r="15" spans="1:20" ht="15">
      <c r="A15" s="57" t="s">
        <v>13</v>
      </c>
      <c r="B15" s="58" t="s">
        <v>27</v>
      </c>
      <c r="C15" s="60">
        <v>6000</v>
      </c>
      <c r="D15" s="59"/>
      <c r="E15" s="59"/>
      <c r="F15" s="61"/>
      <c r="G15" s="62"/>
      <c r="H15" s="59"/>
      <c r="I15" s="63"/>
      <c r="J15" s="59"/>
      <c r="K15" s="59"/>
      <c r="L15" s="59"/>
      <c r="M15" s="63"/>
      <c r="N15" s="61"/>
      <c r="O15" s="86"/>
      <c r="P15" s="48">
        <f t="shared" si="1"/>
        <v>6000</v>
      </c>
      <c r="Q15" s="170"/>
      <c r="R15" s="170"/>
      <c r="S15" s="180"/>
      <c r="T15" s="186"/>
    </row>
    <row r="16" spans="1:20" ht="15.75" thickBot="1">
      <c r="A16" s="64" t="s">
        <v>329</v>
      </c>
      <c r="B16" s="65" t="s">
        <v>234</v>
      </c>
      <c r="C16" s="66">
        <f>118000+5955</f>
        <v>123955</v>
      </c>
      <c r="D16" s="63"/>
      <c r="E16" s="63"/>
      <c r="F16" s="67"/>
      <c r="G16" s="63"/>
      <c r="H16" s="63"/>
      <c r="I16" s="63"/>
      <c r="J16" s="63"/>
      <c r="K16" s="63"/>
      <c r="L16" s="63"/>
      <c r="M16" s="63"/>
      <c r="N16" s="67"/>
      <c r="O16" s="221"/>
      <c r="P16" s="68">
        <f t="shared" si="1"/>
        <v>123955</v>
      </c>
      <c r="Q16" s="170"/>
      <c r="R16" s="170"/>
      <c r="S16" s="180"/>
      <c r="T16" s="186"/>
    </row>
    <row r="17" spans="1:20" ht="15.75" thickBot="1">
      <c r="A17" s="40"/>
      <c r="B17" s="41" t="s">
        <v>28</v>
      </c>
      <c r="C17" s="42">
        <f aca="true" t="shared" si="4" ref="C17:O17">SUM(C18:C22)</f>
        <v>463272</v>
      </c>
      <c r="D17" s="42">
        <f t="shared" si="4"/>
        <v>200</v>
      </c>
      <c r="E17" s="42">
        <f t="shared" si="4"/>
        <v>0</v>
      </c>
      <c r="F17" s="42">
        <f t="shared" si="4"/>
        <v>0</v>
      </c>
      <c r="G17" s="42">
        <f t="shared" si="4"/>
        <v>50691</v>
      </c>
      <c r="H17" s="42">
        <f t="shared" si="4"/>
        <v>28860</v>
      </c>
      <c r="I17" s="42">
        <f t="shared" si="4"/>
        <v>33200</v>
      </c>
      <c r="J17" s="42">
        <f t="shared" si="4"/>
        <v>54007</v>
      </c>
      <c r="K17" s="42">
        <f t="shared" si="4"/>
        <v>0</v>
      </c>
      <c r="L17" s="42">
        <f t="shared" si="4"/>
        <v>50</v>
      </c>
      <c r="M17" s="42">
        <f t="shared" si="4"/>
        <v>5400</v>
      </c>
      <c r="N17" s="42">
        <f t="shared" si="4"/>
        <v>10470</v>
      </c>
      <c r="O17" s="43">
        <f t="shared" si="4"/>
        <v>0</v>
      </c>
      <c r="P17" s="44">
        <f t="shared" si="1"/>
        <v>646150</v>
      </c>
      <c r="Q17" s="170"/>
      <c r="R17" s="170"/>
      <c r="S17" s="186"/>
      <c r="T17" s="186"/>
    </row>
    <row r="18" spans="1:20" ht="30">
      <c r="A18" s="51" t="s">
        <v>29</v>
      </c>
      <c r="B18" s="24" t="s">
        <v>30</v>
      </c>
      <c r="C18" s="19">
        <v>15100</v>
      </c>
      <c r="D18" s="19">
        <v>200</v>
      </c>
      <c r="E18" s="19"/>
      <c r="F18" s="50"/>
      <c r="G18" s="19"/>
      <c r="H18" s="19">
        <v>200</v>
      </c>
      <c r="I18" s="19">
        <v>50</v>
      </c>
      <c r="J18" s="19">
        <v>2200</v>
      </c>
      <c r="K18" s="19"/>
      <c r="L18" s="52">
        <v>25</v>
      </c>
      <c r="M18" s="19"/>
      <c r="N18" s="54">
        <v>100</v>
      </c>
      <c r="O18" s="220"/>
      <c r="P18" s="48">
        <f t="shared" si="1"/>
        <v>17875</v>
      </c>
      <c r="Q18" s="170"/>
      <c r="R18" s="170"/>
      <c r="S18" s="180"/>
      <c r="T18" s="186"/>
    </row>
    <row r="19" spans="1:20" ht="15">
      <c r="A19" s="51" t="s">
        <v>15</v>
      </c>
      <c r="B19" s="24" t="s">
        <v>14</v>
      </c>
      <c r="C19" s="19">
        <v>51300</v>
      </c>
      <c r="D19" s="19"/>
      <c r="E19" s="19"/>
      <c r="F19" s="50"/>
      <c r="G19" s="19">
        <v>450</v>
      </c>
      <c r="H19" s="19">
        <v>120</v>
      </c>
      <c r="I19" s="19">
        <v>50</v>
      </c>
      <c r="J19" s="19">
        <v>950</v>
      </c>
      <c r="K19" s="19"/>
      <c r="L19" s="52">
        <v>25</v>
      </c>
      <c r="M19" s="19"/>
      <c r="N19" s="54">
        <v>70</v>
      </c>
      <c r="O19" s="220"/>
      <c r="P19" s="48">
        <f t="shared" si="1"/>
        <v>52965</v>
      </c>
      <c r="Q19" s="170"/>
      <c r="R19" s="170"/>
      <c r="S19" s="180"/>
      <c r="T19" s="186"/>
    </row>
    <row r="20" spans="1:20" ht="15">
      <c r="A20" s="51" t="s">
        <v>119</v>
      </c>
      <c r="B20" s="24" t="s">
        <v>120</v>
      </c>
      <c r="C20" s="19">
        <v>55000</v>
      </c>
      <c r="D20" s="19"/>
      <c r="E20" s="19"/>
      <c r="F20" s="50"/>
      <c r="G20" s="19"/>
      <c r="H20" s="19"/>
      <c r="I20" s="19"/>
      <c r="J20" s="19"/>
      <c r="K20" s="19"/>
      <c r="L20" s="19"/>
      <c r="M20" s="19"/>
      <c r="N20" s="50"/>
      <c r="O20" s="220"/>
      <c r="P20" s="48">
        <f t="shared" si="1"/>
        <v>55000</v>
      </c>
      <c r="Q20" s="170"/>
      <c r="R20" s="170"/>
      <c r="S20" s="180"/>
      <c r="T20" s="186"/>
    </row>
    <row r="21" spans="1:20" ht="15">
      <c r="A21" s="51" t="s">
        <v>330</v>
      </c>
      <c r="B21" s="24" t="s">
        <v>31</v>
      </c>
      <c r="C21" s="19">
        <f>33710+14068+2000</f>
        <v>49778</v>
      </c>
      <c r="D21" s="19"/>
      <c r="E21" s="19"/>
      <c r="F21" s="50"/>
      <c r="G21" s="19"/>
      <c r="H21" s="19">
        <v>258</v>
      </c>
      <c r="I21" s="19"/>
      <c r="J21" s="19"/>
      <c r="K21" s="19"/>
      <c r="L21" s="19"/>
      <c r="M21" s="19">
        <v>5400</v>
      </c>
      <c r="N21" s="50">
        <v>10300</v>
      </c>
      <c r="O21" s="220"/>
      <c r="P21" s="48">
        <f t="shared" si="1"/>
        <v>65736</v>
      </c>
      <c r="Q21" s="170"/>
      <c r="R21" s="170"/>
      <c r="S21" s="180"/>
      <c r="T21" s="186"/>
    </row>
    <row r="22" spans="1:20" ht="27.75" customHeight="1">
      <c r="A22" s="51" t="s">
        <v>112</v>
      </c>
      <c r="B22" s="24" t="s">
        <v>237</v>
      </c>
      <c r="C22" s="19">
        <f>302694-10600</f>
        <v>292094</v>
      </c>
      <c r="D22" s="19"/>
      <c r="E22" s="19"/>
      <c r="F22" s="19"/>
      <c r="G22" s="19">
        <v>50241</v>
      </c>
      <c r="H22" s="54">
        <v>28282</v>
      </c>
      <c r="I22" s="50">
        <v>33100</v>
      </c>
      <c r="J22" s="19">
        <v>50857</v>
      </c>
      <c r="K22" s="50"/>
      <c r="L22" s="19"/>
      <c r="M22" s="50"/>
      <c r="N22" s="50"/>
      <c r="O22" s="220"/>
      <c r="P22" s="48">
        <f t="shared" si="1"/>
        <v>454574</v>
      </c>
      <c r="Q22" s="170"/>
      <c r="R22" s="170"/>
      <c r="S22" s="180"/>
      <c r="T22" s="186"/>
    </row>
    <row r="23" spans="1:20" ht="58.5" thickBot="1">
      <c r="A23" s="70" t="s">
        <v>241</v>
      </c>
      <c r="B23" s="233" t="s">
        <v>240</v>
      </c>
      <c r="C23" s="72">
        <f>225144+69000</f>
        <v>294144</v>
      </c>
      <c r="D23" s="72"/>
      <c r="E23" s="72"/>
      <c r="F23" s="73"/>
      <c r="G23" s="72"/>
      <c r="H23" s="73"/>
      <c r="I23" s="73"/>
      <c r="J23" s="72"/>
      <c r="K23" s="73"/>
      <c r="L23" s="72"/>
      <c r="M23" s="73"/>
      <c r="N23" s="73"/>
      <c r="O23" s="221"/>
      <c r="P23" s="48">
        <f t="shared" si="1"/>
        <v>294144</v>
      </c>
      <c r="Q23" s="170"/>
      <c r="R23" s="170"/>
      <c r="S23" s="180"/>
      <c r="T23" s="186"/>
    </row>
    <row r="24" spans="1:20" ht="15.75" thickBot="1">
      <c r="A24" s="74" t="s">
        <v>32</v>
      </c>
      <c r="B24" s="41" t="s">
        <v>33</v>
      </c>
      <c r="C24" s="42">
        <f>SUM(C25:C25)</f>
        <v>33009704</v>
      </c>
      <c r="D24" s="42">
        <f aca="true" t="shared" si="5" ref="D24:O24">SUM(D25:D25)</f>
        <v>0</v>
      </c>
      <c r="E24" s="42">
        <f t="shared" si="5"/>
        <v>0</v>
      </c>
      <c r="F24" s="43">
        <f t="shared" si="5"/>
        <v>0</v>
      </c>
      <c r="G24" s="42">
        <f t="shared" si="5"/>
        <v>0</v>
      </c>
      <c r="H24" s="42">
        <f t="shared" si="5"/>
        <v>0</v>
      </c>
      <c r="I24" s="42">
        <f t="shared" si="5"/>
        <v>773</v>
      </c>
      <c r="J24" s="42">
        <f t="shared" si="5"/>
        <v>158969</v>
      </c>
      <c r="K24" s="42">
        <f t="shared" si="5"/>
        <v>0</v>
      </c>
      <c r="L24" s="42">
        <f t="shared" si="5"/>
        <v>10798</v>
      </c>
      <c r="M24" s="42">
        <f t="shared" si="5"/>
        <v>200</v>
      </c>
      <c r="N24" s="42">
        <f t="shared" si="5"/>
        <v>0</v>
      </c>
      <c r="O24" s="43">
        <f t="shared" si="5"/>
        <v>0</v>
      </c>
      <c r="P24" s="44">
        <f t="shared" si="1"/>
        <v>33180444</v>
      </c>
      <c r="Q24" s="170"/>
      <c r="R24" s="170"/>
      <c r="S24" s="186"/>
      <c r="T24" s="186"/>
    </row>
    <row r="25" spans="1:20" ht="30.75" thickBot="1">
      <c r="A25" s="75" t="s">
        <v>156</v>
      </c>
      <c r="B25" s="76" t="s">
        <v>160</v>
      </c>
      <c r="C25" s="47">
        <f>25677049+533835+150000+6648820</f>
        <v>33009704</v>
      </c>
      <c r="D25" s="47"/>
      <c r="E25" s="25"/>
      <c r="F25" s="25"/>
      <c r="G25" s="47"/>
      <c r="H25" s="25"/>
      <c r="I25" s="25">
        <v>773</v>
      </c>
      <c r="J25" s="25">
        <v>158969</v>
      </c>
      <c r="K25" s="25"/>
      <c r="L25" s="25">
        <v>10798</v>
      </c>
      <c r="M25" s="25">
        <v>200</v>
      </c>
      <c r="N25" s="25"/>
      <c r="O25" s="220"/>
      <c r="P25" s="48">
        <f t="shared" si="1"/>
        <v>33180444</v>
      </c>
      <c r="Q25" s="170"/>
      <c r="R25" s="170"/>
      <c r="S25" s="180"/>
      <c r="T25" s="186"/>
    </row>
    <row r="26" spans="1:20" ht="15.75" thickBot="1">
      <c r="A26" s="74" t="s">
        <v>34</v>
      </c>
      <c r="B26" s="41" t="s">
        <v>35</v>
      </c>
      <c r="C26" s="43">
        <f>SUM(C27:C29)</f>
        <v>570000</v>
      </c>
      <c r="D26" s="43">
        <f aca="true" t="shared" si="6" ref="D26:O26">SUM(D27:D29)</f>
        <v>0</v>
      </c>
      <c r="E26" s="43">
        <f t="shared" si="6"/>
        <v>0</v>
      </c>
      <c r="F26" s="43">
        <f t="shared" si="6"/>
        <v>0</v>
      </c>
      <c r="G26" s="42">
        <f t="shared" si="6"/>
        <v>0</v>
      </c>
      <c r="H26" s="42">
        <f t="shared" si="6"/>
        <v>0</v>
      </c>
      <c r="I26" s="42">
        <f t="shared" si="6"/>
        <v>0</v>
      </c>
      <c r="J26" s="42">
        <f t="shared" si="6"/>
        <v>0</v>
      </c>
      <c r="K26" s="42">
        <f t="shared" si="6"/>
        <v>0</v>
      </c>
      <c r="L26" s="42">
        <f t="shared" si="6"/>
        <v>0</v>
      </c>
      <c r="M26" s="42">
        <f t="shared" si="6"/>
        <v>0</v>
      </c>
      <c r="N26" s="42">
        <f>SUM(N27:N29)</f>
        <v>0</v>
      </c>
      <c r="O26" s="43">
        <f t="shared" si="6"/>
        <v>0</v>
      </c>
      <c r="P26" s="44">
        <f t="shared" si="1"/>
        <v>570000</v>
      </c>
      <c r="Q26" s="170"/>
      <c r="R26" s="170"/>
      <c r="S26" s="186"/>
      <c r="T26" s="186"/>
    </row>
    <row r="27" spans="1:20" ht="30">
      <c r="A27" s="45" t="s">
        <v>121</v>
      </c>
      <c r="B27" s="46" t="s">
        <v>161</v>
      </c>
      <c r="C27" s="25"/>
      <c r="D27" s="25"/>
      <c r="E27" s="25"/>
      <c r="F27" s="25"/>
      <c r="G27" s="47"/>
      <c r="H27" s="25"/>
      <c r="I27" s="25"/>
      <c r="J27" s="25"/>
      <c r="K27" s="25"/>
      <c r="L27" s="25"/>
      <c r="M27" s="25"/>
      <c r="N27" s="25"/>
      <c r="O27" s="220"/>
      <c r="P27" s="48">
        <f t="shared" si="1"/>
        <v>0</v>
      </c>
      <c r="Q27" s="170"/>
      <c r="R27" s="170"/>
      <c r="S27" s="180"/>
      <c r="T27" s="186"/>
    </row>
    <row r="28" spans="1:20" ht="30">
      <c r="A28" s="51" t="s">
        <v>36</v>
      </c>
      <c r="B28" s="24" t="s">
        <v>162</v>
      </c>
      <c r="C28" s="50">
        <v>570000</v>
      </c>
      <c r="D28" s="50"/>
      <c r="E28" s="50"/>
      <c r="F28" s="50"/>
      <c r="G28" s="19"/>
      <c r="H28" s="50"/>
      <c r="I28" s="50"/>
      <c r="J28" s="50"/>
      <c r="K28" s="50"/>
      <c r="L28" s="19"/>
      <c r="M28" s="50"/>
      <c r="N28" s="50"/>
      <c r="O28" s="220"/>
      <c r="P28" s="48">
        <f t="shared" si="1"/>
        <v>570000</v>
      </c>
      <c r="Q28" s="170"/>
      <c r="R28" s="170"/>
      <c r="S28" s="180"/>
      <c r="T28" s="186"/>
    </row>
    <row r="29" spans="1:20" ht="33" customHeight="1" thickBot="1">
      <c r="A29" s="64" t="s">
        <v>37</v>
      </c>
      <c r="B29" s="279" t="s">
        <v>260</v>
      </c>
      <c r="C29" s="63"/>
      <c r="D29" s="63"/>
      <c r="E29" s="67"/>
      <c r="F29" s="67"/>
      <c r="G29" s="62"/>
      <c r="H29" s="63"/>
      <c r="I29" s="66"/>
      <c r="J29" s="63"/>
      <c r="K29" s="67"/>
      <c r="L29" s="77"/>
      <c r="M29" s="78"/>
      <c r="N29" s="212"/>
      <c r="O29" s="221"/>
      <c r="P29" s="68">
        <f t="shared" si="1"/>
        <v>0</v>
      </c>
      <c r="Q29" s="170"/>
      <c r="R29" s="170"/>
      <c r="S29" s="180"/>
      <c r="T29" s="186"/>
    </row>
    <row r="30" spans="1:20" ht="15.75" thickBot="1">
      <c r="A30" s="74" t="s">
        <v>38</v>
      </c>
      <c r="B30" s="41" t="s">
        <v>39</v>
      </c>
      <c r="C30" s="43">
        <f aca="true" t="shared" si="7" ref="C30:O30">SUM(C31,C32,C37)</f>
        <v>1142234</v>
      </c>
      <c r="D30" s="43">
        <f t="shared" si="7"/>
        <v>2281384</v>
      </c>
      <c r="E30" s="43">
        <f t="shared" si="7"/>
        <v>184739</v>
      </c>
      <c r="F30" s="43">
        <f t="shared" si="7"/>
        <v>385899</v>
      </c>
      <c r="G30" s="43">
        <f t="shared" si="7"/>
        <v>54347</v>
      </c>
      <c r="H30" s="43">
        <f t="shared" si="7"/>
        <v>158450</v>
      </c>
      <c r="I30" s="43">
        <f t="shared" si="7"/>
        <v>139364</v>
      </c>
      <c r="J30" s="43">
        <f t="shared" si="7"/>
        <v>1043344</v>
      </c>
      <c r="K30" s="43">
        <f t="shared" si="7"/>
        <v>10000</v>
      </c>
      <c r="L30" s="43">
        <f t="shared" si="7"/>
        <v>18000</v>
      </c>
      <c r="M30" s="43">
        <f t="shared" si="7"/>
        <v>13500</v>
      </c>
      <c r="N30" s="43">
        <f t="shared" si="7"/>
        <v>52000</v>
      </c>
      <c r="O30" s="43">
        <f t="shared" si="7"/>
        <v>3099</v>
      </c>
      <c r="P30" s="44">
        <f>SUM(C30:O30)</f>
        <v>5486360</v>
      </c>
      <c r="Q30" s="170"/>
      <c r="R30" s="170"/>
      <c r="S30" s="186"/>
      <c r="T30" s="186"/>
    </row>
    <row r="31" spans="1:20" ht="31.5">
      <c r="A31" s="79" t="s">
        <v>150</v>
      </c>
      <c r="B31" s="234" t="s">
        <v>151</v>
      </c>
      <c r="C31" s="80">
        <f>19107+32724</f>
        <v>51831</v>
      </c>
      <c r="D31" s="25"/>
      <c r="E31" s="25"/>
      <c r="F31" s="25"/>
      <c r="G31" s="47"/>
      <c r="H31" s="47"/>
      <c r="I31" s="47"/>
      <c r="J31" s="47"/>
      <c r="K31" s="47"/>
      <c r="L31" s="47"/>
      <c r="M31" s="47"/>
      <c r="N31" s="25"/>
      <c r="O31" s="220"/>
      <c r="P31" s="48">
        <f>SUM(C31:N31)</f>
        <v>51831</v>
      </c>
      <c r="Q31" s="170"/>
      <c r="R31" s="170"/>
      <c r="S31" s="186"/>
      <c r="T31" s="186"/>
    </row>
    <row r="32" spans="1:20" ht="43.5">
      <c r="A32" s="81" t="s">
        <v>40</v>
      </c>
      <c r="B32" s="82" t="s">
        <v>163</v>
      </c>
      <c r="C32" s="31">
        <f aca="true" t="shared" si="8" ref="C32:O32">SUM(C33:C36)</f>
        <v>1090403</v>
      </c>
      <c r="D32" s="31">
        <f t="shared" si="8"/>
        <v>2280384</v>
      </c>
      <c r="E32" s="31">
        <f t="shared" si="8"/>
        <v>176625</v>
      </c>
      <c r="F32" s="31">
        <f t="shared" si="8"/>
        <v>385899</v>
      </c>
      <c r="G32" s="31">
        <f t="shared" si="8"/>
        <v>54347</v>
      </c>
      <c r="H32" s="83">
        <f t="shared" si="8"/>
        <v>157450</v>
      </c>
      <c r="I32" s="31">
        <f t="shared" si="8"/>
        <v>139364</v>
      </c>
      <c r="J32" s="31">
        <f t="shared" si="8"/>
        <v>1043344</v>
      </c>
      <c r="K32" s="31">
        <f t="shared" si="8"/>
        <v>10000</v>
      </c>
      <c r="L32" s="31">
        <f t="shared" si="8"/>
        <v>18000</v>
      </c>
      <c r="M32" s="31">
        <f t="shared" si="8"/>
        <v>13500</v>
      </c>
      <c r="N32" s="31">
        <f t="shared" si="8"/>
        <v>52000</v>
      </c>
      <c r="O32" s="83">
        <f t="shared" si="8"/>
        <v>3099</v>
      </c>
      <c r="P32" s="48">
        <f>SUM(C32:O32)</f>
        <v>5424415</v>
      </c>
      <c r="Q32" s="170"/>
      <c r="R32" s="170"/>
      <c r="S32" s="186"/>
      <c r="T32" s="186"/>
    </row>
    <row r="33" spans="1:20" ht="15">
      <c r="A33" s="49" t="s">
        <v>122</v>
      </c>
      <c r="B33" s="24" t="s">
        <v>123</v>
      </c>
      <c r="C33" s="52">
        <v>181079</v>
      </c>
      <c r="D33" s="84"/>
      <c r="E33" s="84"/>
      <c r="F33" s="50"/>
      <c r="G33" s="19">
        <v>38858</v>
      </c>
      <c r="H33" s="31"/>
      <c r="I33" s="19">
        <v>7867</v>
      </c>
      <c r="J33" s="19">
        <v>68978</v>
      </c>
      <c r="K33" s="31"/>
      <c r="L33" s="31"/>
      <c r="M33" s="31"/>
      <c r="N33" s="50">
        <v>4000</v>
      </c>
      <c r="O33" s="218"/>
      <c r="P33" s="48">
        <f aca="true" t="shared" si="9" ref="P33:P41">SUM(C33:O33)</f>
        <v>300782</v>
      </c>
      <c r="Q33" s="170"/>
      <c r="R33" s="170"/>
      <c r="S33" s="180"/>
      <c r="T33" s="186"/>
    </row>
    <row r="34" spans="1:20" ht="30">
      <c r="A34" s="49" t="s">
        <v>124</v>
      </c>
      <c r="B34" s="24" t="s">
        <v>306</v>
      </c>
      <c r="C34" s="19">
        <v>10016</v>
      </c>
      <c r="D34" s="19"/>
      <c r="E34" s="50"/>
      <c r="F34" s="50"/>
      <c r="G34" s="19"/>
      <c r="H34" s="19">
        <v>10</v>
      </c>
      <c r="I34" s="19"/>
      <c r="J34" s="19"/>
      <c r="K34" s="19"/>
      <c r="L34" s="19"/>
      <c r="M34" s="19"/>
      <c r="N34" s="50"/>
      <c r="O34" s="220"/>
      <c r="P34" s="48">
        <f t="shared" si="9"/>
        <v>10026</v>
      </c>
      <c r="Q34" s="170"/>
      <c r="R34" s="170"/>
      <c r="S34" s="180"/>
      <c r="T34" s="186"/>
    </row>
    <row r="35" spans="1:20" ht="15">
      <c r="A35" s="49" t="s">
        <v>41</v>
      </c>
      <c r="B35" s="24" t="s">
        <v>42</v>
      </c>
      <c r="C35" s="19">
        <f>422421+8147</f>
        <v>430568</v>
      </c>
      <c r="D35" s="208">
        <v>41136</v>
      </c>
      <c r="E35" s="19">
        <f>55384+2019</f>
        <v>57403</v>
      </c>
      <c r="F35" s="19">
        <v>16589</v>
      </c>
      <c r="G35" s="52">
        <v>7160</v>
      </c>
      <c r="H35" s="19">
        <v>17205</v>
      </c>
      <c r="I35" s="19">
        <v>7100</v>
      </c>
      <c r="J35" s="19">
        <v>20816</v>
      </c>
      <c r="K35" s="50">
        <v>1400</v>
      </c>
      <c r="L35" s="2">
        <v>3000</v>
      </c>
      <c r="M35" s="201">
        <v>3500</v>
      </c>
      <c r="N35" s="54">
        <v>15000</v>
      </c>
      <c r="O35" s="220">
        <v>3099</v>
      </c>
      <c r="P35" s="48">
        <f>SUM(C35:O35)</f>
        <v>623976</v>
      </c>
      <c r="Q35" s="170"/>
      <c r="R35" s="170"/>
      <c r="S35" s="180"/>
      <c r="T35" s="186"/>
    </row>
    <row r="36" spans="1:20" ht="30">
      <c r="A36" s="49" t="s">
        <v>43</v>
      </c>
      <c r="B36" s="24" t="s">
        <v>44</v>
      </c>
      <c r="C36" s="19">
        <f>466740+2000</f>
        <v>468740</v>
      </c>
      <c r="D36" s="208">
        <v>2239248</v>
      </c>
      <c r="E36" s="19">
        <f>117139+2083</f>
        <v>119222</v>
      </c>
      <c r="F36" s="19">
        <f>311402+57908</f>
        <v>369310</v>
      </c>
      <c r="G36" s="87">
        <v>8329</v>
      </c>
      <c r="H36" s="52">
        <v>140235</v>
      </c>
      <c r="I36" s="19">
        <v>124397</v>
      </c>
      <c r="J36" s="52">
        <v>953550</v>
      </c>
      <c r="K36" s="50">
        <v>8600</v>
      </c>
      <c r="L36" s="2">
        <v>15000</v>
      </c>
      <c r="M36" s="206">
        <v>10000</v>
      </c>
      <c r="N36" s="54">
        <v>33000</v>
      </c>
      <c r="O36" s="220"/>
      <c r="P36" s="48">
        <f t="shared" si="9"/>
        <v>4489631</v>
      </c>
      <c r="Q36" s="170"/>
      <c r="R36" s="170"/>
      <c r="S36" s="180"/>
      <c r="T36" s="186"/>
    </row>
    <row r="37" spans="1:20" ht="30" thickBot="1">
      <c r="A37" s="81" t="s">
        <v>248</v>
      </c>
      <c r="B37" s="82" t="s">
        <v>249</v>
      </c>
      <c r="C37" s="72"/>
      <c r="D37" s="72">
        <v>1000</v>
      </c>
      <c r="E37" s="73">
        <v>8114</v>
      </c>
      <c r="F37" s="73"/>
      <c r="G37" s="88"/>
      <c r="H37" s="72">
        <v>1000</v>
      </c>
      <c r="I37" s="89"/>
      <c r="J37" s="89"/>
      <c r="K37" s="172"/>
      <c r="L37" s="72"/>
      <c r="M37" s="89"/>
      <c r="N37" s="89"/>
      <c r="O37" s="172"/>
      <c r="P37" s="48">
        <f t="shared" si="9"/>
        <v>10114</v>
      </c>
      <c r="Q37" s="170"/>
      <c r="R37" s="170"/>
      <c r="S37" s="180"/>
      <c r="T37" s="186"/>
    </row>
    <row r="38" spans="1:20" ht="15.75" thickBot="1">
      <c r="A38" s="90"/>
      <c r="B38" s="91" t="s">
        <v>45</v>
      </c>
      <c r="C38" s="92">
        <f aca="true" t="shared" si="10" ref="C38:O38">SUM(C8+C17+C23+C24+C26+C30)</f>
        <v>85629976</v>
      </c>
      <c r="D38" s="92">
        <f t="shared" si="10"/>
        <v>2281584</v>
      </c>
      <c r="E38" s="92">
        <f t="shared" si="10"/>
        <v>184739</v>
      </c>
      <c r="F38" s="93">
        <f t="shared" si="10"/>
        <v>385899</v>
      </c>
      <c r="G38" s="92">
        <f t="shared" si="10"/>
        <v>218888</v>
      </c>
      <c r="H38" s="92">
        <f t="shared" si="10"/>
        <v>239221</v>
      </c>
      <c r="I38" s="92">
        <f t="shared" si="10"/>
        <v>218337</v>
      </c>
      <c r="J38" s="92">
        <f t="shared" si="10"/>
        <v>1367154</v>
      </c>
      <c r="K38" s="92">
        <f t="shared" si="10"/>
        <v>78500</v>
      </c>
      <c r="L38" s="92">
        <f t="shared" si="10"/>
        <v>78848</v>
      </c>
      <c r="M38" s="92">
        <f t="shared" si="10"/>
        <v>68990</v>
      </c>
      <c r="N38" s="92">
        <f t="shared" si="10"/>
        <v>139570</v>
      </c>
      <c r="O38" s="92">
        <f t="shared" si="10"/>
        <v>3099</v>
      </c>
      <c r="P38" s="44">
        <f t="shared" si="9"/>
        <v>90894805</v>
      </c>
      <c r="Q38" s="170"/>
      <c r="R38" s="170"/>
      <c r="S38" s="186"/>
      <c r="T38" s="186"/>
    </row>
    <row r="39" spans="1:20" ht="15">
      <c r="A39" s="94" t="s">
        <v>407</v>
      </c>
      <c r="B39" s="95" t="s">
        <v>389</v>
      </c>
      <c r="C39" s="94">
        <f>27376204+5072329+4373833</f>
        <v>36822366</v>
      </c>
      <c r="D39" s="47"/>
      <c r="E39" s="25"/>
      <c r="F39" s="25"/>
      <c r="G39" s="47"/>
      <c r="H39" s="47"/>
      <c r="I39" s="47"/>
      <c r="J39" s="47"/>
      <c r="K39" s="47"/>
      <c r="L39" s="47"/>
      <c r="M39" s="25"/>
      <c r="N39" s="26"/>
      <c r="O39" s="26"/>
      <c r="P39" s="32">
        <f t="shared" si="9"/>
        <v>36822366</v>
      </c>
      <c r="Q39" s="170"/>
      <c r="R39" s="170"/>
      <c r="S39" s="186"/>
      <c r="T39" s="186"/>
    </row>
    <row r="40" spans="1:20" ht="15">
      <c r="A40" s="96"/>
      <c r="B40" s="97" t="s">
        <v>46</v>
      </c>
      <c r="C40" s="98">
        <f aca="true" t="shared" si="11" ref="C40:O40">SUM(C38:C39)</f>
        <v>122452342</v>
      </c>
      <c r="D40" s="96">
        <f t="shared" si="11"/>
        <v>2281584</v>
      </c>
      <c r="E40" s="96">
        <f t="shared" si="11"/>
        <v>184739</v>
      </c>
      <c r="F40" s="99">
        <f t="shared" si="11"/>
        <v>385899</v>
      </c>
      <c r="G40" s="96">
        <f t="shared" si="11"/>
        <v>218888</v>
      </c>
      <c r="H40" s="96">
        <f t="shared" si="11"/>
        <v>239221</v>
      </c>
      <c r="I40" s="96">
        <f t="shared" si="11"/>
        <v>218337</v>
      </c>
      <c r="J40" s="96">
        <f t="shared" si="11"/>
        <v>1367154</v>
      </c>
      <c r="K40" s="96">
        <f t="shared" si="11"/>
        <v>78500</v>
      </c>
      <c r="L40" s="96">
        <f t="shared" si="11"/>
        <v>78848</v>
      </c>
      <c r="M40" s="99">
        <f t="shared" si="11"/>
        <v>68990</v>
      </c>
      <c r="N40" s="96">
        <f>SUM(N38:N39)</f>
        <v>139570</v>
      </c>
      <c r="O40" s="96">
        <f t="shared" si="11"/>
        <v>3099</v>
      </c>
      <c r="P40" s="80">
        <f t="shared" si="9"/>
        <v>127717171</v>
      </c>
      <c r="Q40" s="170"/>
      <c r="R40" s="170"/>
      <c r="S40" s="180"/>
      <c r="T40" s="186"/>
    </row>
    <row r="41" spans="1:20" ht="18" customHeight="1">
      <c r="A41" s="100" t="s">
        <v>246</v>
      </c>
      <c r="B41" s="101" t="s">
        <v>439</v>
      </c>
      <c r="C41" s="103">
        <v>14072732</v>
      </c>
      <c r="D41" s="208">
        <v>1881374</v>
      </c>
      <c r="E41" s="19">
        <v>187675</v>
      </c>
      <c r="F41" s="19">
        <v>90105</v>
      </c>
      <c r="G41" s="52">
        <v>285834</v>
      </c>
      <c r="H41" s="19">
        <f>71549</f>
        <v>71549</v>
      </c>
      <c r="I41" s="19">
        <v>189736</v>
      </c>
      <c r="J41" s="19">
        <v>228777</v>
      </c>
      <c r="K41" s="50">
        <v>125698</v>
      </c>
      <c r="L41" s="19">
        <f>38624-9</f>
        <v>38615</v>
      </c>
      <c r="M41" s="19">
        <v>54344</v>
      </c>
      <c r="N41" s="19">
        <v>69917</v>
      </c>
      <c r="O41" s="47">
        <v>28329.7</v>
      </c>
      <c r="P41" s="80">
        <f t="shared" si="9"/>
        <v>17324685.7</v>
      </c>
      <c r="Q41" s="170"/>
      <c r="R41" s="170"/>
      <c r="S41" s="180"/>
      <c r="T41" s="186"/>
    </row>
    <row r="42" spans="1:20" ht="15">
      <c r="A42" s="100" t="s">
        <v>152</v>
      </c>
      <c r="B42" s="1" t="s">
        <v>153</v>
      </c>
      <c r="C42" s="102"/>
      <c r="D42" s="19"/>
      <c r="E42" s="50"/>
      <c r="F42" s="50"/>
      <c r="G42" s="19"/>
      <c r="H42" s="19"/>
      <c r="I42" s="19"/>
      <c r="J42" s="19"/>
      <c r="K42" s="19"/>
      <c r="L42" s="19"/>
      <c r="M42" s="50"/>
      <c r="N42" s="19"/>
      <c r="O42" s="47"/>
      <c r="P42" s="80">
        <f>SUM(C42:N42)</f>
        <v>0</v>
      </c>
      <c r="Q42" s="170"/>
      <c r="R42" s="170"/>
      <c r="S42" s="180"/>
      <c r="T42" s="186"/>
    </row>
    <row r="43" spans="1:20" ht="15">
      <c r="A43" s="96"/>
      <c r="B43" s="101" t="s">
        <v>47</v>
      </c>
      <c r="C43" s="104">
        <f aca="true" t="shared" si="12" ref="C43:O43">SUM(C40:C41)</f>
        <v>136525074</v>
      </c>
      <c r="D43" s="104">
        <f t="shared" si="12"/>
        <v>4162958</v>
      </c>
      <c r="E43" s="104">
        <f t="shared" si="12"/>
        <v>372414</v>
      </c>
      <c r="F43" s="104">
        <f t="shared" si="12"/>
        <v>476004</v>
      </c>
      <c r="G43" s="104">
        <f t="shared" si="12"/>
        <v>504722</v>
      </c>
      <c r="H43" s="104">
        <f t="shared" si="12"/>
        <v>310770</v>
      </c>
      <c r="I43" s="104">
        <f t="shared" si="12"/>
        <v>408073</v>
      </c>
      <c r="J43" s="104">
        <f t="shared" si="12"/>
        <v>1595931</v>
      </c>
      <c r="K43" s="104">
        <f t="shared" si="12"/>
        <v>204198</v>
      </c>
      <c r="L43" s="104">
        <f t="shared" si="12"/>
        <v>117463</v>
      </c>
      <c r="M43" s="104">
        <f t="shared" si="12"/>
        <v>123334</v>
      </c>
      <c r="N43" s="104">
        <f>SUM(N40:N41)</f>
        <v>209487</v>
      </c>
      <c r="O43" s="104">
        <f t="shared" si="12"/>
        <v>31428.7</v>
      </c>
      <c r="P43" s="104">
        <f>SUM(P40:P41)</f>
        <v>145041856.7</v>
      </c>
      <c r="Q43" s="170"/>
      <c r="R43" s="170"/>
      <c r="S43" s="180"/>
      <c r="T43" s="186"/>
    </row>
    <row r="44" spans="1:18" ht="15">
      <c r="A44" s="168"/>
      <c r="B44" s="187"/>
      <c r="C44" s="188"/>
      <c r="D44" s="168"/>
      <c r="E44" s="168"/>
      <c r="F44" s="168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1:18" ht="15">
      <c r="A45" s="168"/>
      <c r="B45" s="187"/>
      <c r="C45" s="189"/>
      <c r="D45" s="168"/>
      <c r="E45" s="168"/>
      <c r="F45" s="168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</row>
    <row r="46" spans="1:18" ht="15">
      <c r="A46" s="30"/>
      <c r="B46" s="178" t="s">
        <v>245</v>
      </c>
      <c r="C46" s="30"/>
      <c r="D46" s="30" t="s">
        <v>20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69"/>
      <c r="Q46" s="169"/>
      <c r="R46" s="169"/>
    </row>
    <row r="47" spans="1:18" ht="15">
      <c r="A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69"/>
      <c r="Q47" s="169"/>
      <c r="R47" s="169"/>
    </row>
    <row r="48" spans="17:18" ht="15">
      <c r="Q48" s="169"/>
      <c r="R48" s="169"/>
    </row>
    <row r="49" spans="17:18" ht="15">
      <c r="Q49" s="169"/>
      <c r="R49" s="169"/>
    </row>
    <row r="50" spans="17:18" ht="15">
      <c r="Q50" s="169"/>
      <c r="R50" s="169"/>
    </row>
    <row r="51" spans="2:18" ht="15">
      <c r="B51" s="198"/>
      <c r="Q51" s="169"/>
      <c r="R51" s="169"/>
    </row>
    <row r="52" spans="17:18" ht="39.75" customHeight="1">
      <c r="Q52" s="169"/>
      <c r="R52" s="169"/>
    </row>
    <row r="53" spans="17:20" ht="15">
      <c r="Q53" s="198"/>
      <c r="R53" s="198"/>
      <c r="S53" s="9"/>
      <c r="T53" s="9"/>
    </row>
    <row r="54" spans="17:20" ht="15">
      <c r="Q54" s="170"/>
      <c r="R54" s="170"/>
      <c r="S54" s="186"/>
      <c r="T54" s="186"/>
    </row>
    <row r="55" spans="17:20" ht="15">
      <c r="Q55" s="170"/>
      <c r="R55" s="170"/>
      <c r="S55" s="186"/>
      <c r="T55" s="186"/>
    </row>
    <row r="56" spans="17:20" ht="15">
      <c r="Q56" s="170"/>
      <c r="R56" s="170"/>
      <c r="S56" s="180"/>
      <c r="T56" s="186"/>
    </row>
    <row r="57" spans="17:20" ht="15">
      <c r="Q57" s="170"/>
      <c r="R57" s="170"/>
      <c r="S57" s="180"/>
      <c r="T57" s="186"/>
    </row>
    <row r="58" spans="17:20" ht="15">
      <c r="Q58" s="170"/>
      <c r="R58" s="170"/>
      <c r="S58" s="180"/>
      <c r="T58" s="186"/>
    </row>
    <row r="59" spans="17:20" ht="15">
      <c r="Q59" s="170"/>
      <c r="R59" s="170"/>
      <c r="S59" s="180"/>
      <c r="T59" s="186"/>
    </row>
    <row r="60" spans="17:20" ht="15">
      <c r="Q60" s="170"/>
      <c r="R60" s="170"/>
      <c r="S60" s="180"/>
      <c r="T60" s="186"/>
    </row>
    <row r="61" spans="17:20" ht="15">
      <c r="Q61" s="170"/>
      <c r="R61" s="170"/>
      <c r="S61" s="180"/>
      <c r="T61" s="186"/>
    </row>
    <row r="62" spans="1:20" s="182" customFormat="1" ht="15">
      <c r="A62" s="22"/>
      <c r="B62" s="178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Q62" s="170"/>
      <c r="R62" s="170"/>
      <c r="S62" s="186"/>
      <c r="T62" s="186"/>
    </row>
    <row r="63" spans="17:21" ht="15">
      <c r="Q63" s="170"/>
      <c r="R63" s="170"/>
      <c r="S63" s="186"/>
      <c r="T63" s="186"/>
      <c r="U63" s="237"/>
    </row>
    <row r="64" spans="17:20" ht="15">
      <c r="Q64" s="170"/>
      <c r="R64" s="170"/>
      <c r="S64" s="180"/>
      <c r="T64" s="186"/>
    </row>
    <row r="65" spans="17:20" ht="15">
      <c r="Q65" s="170"/>
      <c r="R65" s="170"/>
      <c r="S65" s="180"/>
      <c r="T65" s="186"/>
    </row>
    <row r="66" spans="17:20" ht="15">
      <c r="Q66" s="170"/>
      <c r="R66" s="170"/>
      <c r="S66" s="180"/>
      <c r="T66" s="186"/>
    </row>
    <row r="67" spans="1:20" s="182" customFormat="1" ht="15">
      <c r="A67" s="22"/>
      <c r="B67" s="178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Q67" s="170"/>
      <c r="R67" s="170"/>
      <c r="S67" s="180"/>
      <c r="T67" s="186"/>
    </row>
    <row r="68" spans="1:20" s="182" customFormat="1" ht="15">
      <c r="A68" s="22"/>
      <c r="B68" s="178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Q68" s="170"/>
      <c r="R68" s="170"/>
      <c r="S68" s="180"/>
      <c r="T68" s="186"/>
    </row>
    <row r="69" spans="17:20" ht="15">
      <c r="Q69" s="170"/>
      <c r="R69" s="170"/>
      <c r="S69" s="186"/>
      <c r="T69" s="186"/>
    </row>
    <row r="70" spans="17:20" ht="15">
      <c r="Q70" s="170"/>
      <c r="R70" s="170"/>
      <c r="S70" s="180"/>
      <c r="T70" s="186"/>
    </row>
    <row r="71" spans="17:20" ht="15">
      <c r="Q71" s="170"/>
      <c r="R71" s="170"/>
      <c r="S71" s="180"/>
      <c r="T71" s="186"/>
    </row>
    <row r="72" spans="17:20" ht="15">
      <c r="Q72" s="170"/>
      <c r="R72" s="170"/>
      <c r="S72" s="180"/>
      <c r="T72" s="186"/>
    </row>
    <row r="73" spans="17:20" ht="15">
      <c r="Q73" s="170"/>
      <c r="R73" s="170"/>
      <c r="S73" s="180"/>
      <c r="T73" s="186"/>
    </row>
    <row r="74" spans="17:20" ht="15">
      <c r="Q74" s="170"/>
      <c r="R74" s="170"/>
      <c r="S74" s="180"/>
      <c r="T74" s="186"/>
    </row>
    <row r="75" spans="17:20" ht="15">
      <c r="Q75" s="170"/>
      <c r="R75" s="170"/>
      <c r="S75" s="180"/>
      <c r="T75" s="186"/>
    </row>
    <row r="76" spans="17:20" ht="15">
      <c r="Q76" s="170"/>
      <c r="R76" s="170"/>
      <c r="S76" s="180"/>
      <c r="T76" s="186"/>
    </row>
    <row r="77" spans="17:20" ht="15">
      <c r="Q77" s="170"/>
      <c r="R77" s="170"/>
      <c r="S77" s="180"/>
      <c r="T77" s="186"/>
    </row>
    <row r="78" spans="17:20" ht="15">
      <c r="Q78" s="170"/>
      <c r="R78" s="170"/>
      <c r="S78" s="180"/>
      <c r="T78" s="186"/>
    </row>
    <row r="79" spans="17:20" ht="15">
      <c r="Q79" s="170"/>
      <c r="R79" s="170"/>
      <c r="S79" s="180"/>
      <c r="T79" s="186"/>
    </row>
    <row r="80" spans="17:20" ht="15">
      <c r="Q80" s="170"/>
      <c r="R80" s="170"/>
      <c r="S80" s="180"/>
      <c r="T80" s="186"/>
    </row>
    <row r="81" spans="17:20" ht="15">
      <c r="Q81" s="170"/>
      <c r="R81" s="170"/>
      <c r="S81" s="180"/>
      <c r="T81" s="186"/>
    </row>
    <row r="82" spans="17:20" ht="15">
      <c r="Q82" s="170"/>
      <c r="R82" s="170"/>
      <c r="S82" s="180"/>
      <c r="T82" s="186"/>
    </row>
    <row r="83" spans="17:20" ht="15">
      <c r="Q83" s="170"/>
      <c r="R83" s="170"/>
      <c r="S83" s="180"/>
      <c r="T83" s="186"/>
    </row>
    <row r="84" spans="17:20" ht="15">
      <c r="Q84" s="170"/>
      <c r="R84" s="170"/>
      <c r="S84" s="180"/>
      <c r="T84" s="186"/>
    </row>
    <row r="85" spans="17:20" ht="15">
      <c r="Q85" s="170"/>
      <c r="R85" s="170"/>
      <c r="S85" s="180"/>
      <c r="T85" s="186"/>
    </row>
    <row r="86" spans="17:20" ht="15">
      <c r="Q86" s="170"/>
      <c r="R86" s="170"/>
      <c r="S86" s="180"/>
      <c r="T86" s="186"/>
    </row>
    <row r="87" spans="17:20" ht="15">
      <c r="Q87" s="170"/>
      <c r="R87" s="170"/>
      <c r="S87" s="180"/>
      <c r="T87" s="186"/>
    </row>
    <row r="88" spans="17:20" ht="15">
      <c r="Q88" s="170"/>
      <c r="R88" s="170"/>
      <c r="S88" s="180"/>
      <c r="T88" s="186"/>
    </row>
    <row r="89" spans="17:20" ht="15">
      <c r="Q89" s="170"/>
      <c r="R89" s="170"/>
      <c r="S89" s="180"/>
      <c r="T89" s="186"/>
    </row>
    <row r="90" spans="17:20" ht="15">
      <c r="Q90" s="170"/>
      <c r="R90" s="170"/>
      <c r="S90" s="180"/>
      <c r="T90" s="186"/>
    </row>
    <row r="91" spans="17:20" ht="15">
      <c r="Q91" s="170"/>
      <c r="R91" s="170"/>
      <c r="S91" s="180"/>
      <c r="T91" s="186"/>
    </row>
    <row r="92" spans="17:20" ht="15">
      <c r="Q92" s="170"/>
      <c r="R92" s="170"/>
      <c r="S92" s="180"/>
      <c r="T92" s="186"/>
    </row>
    <row r="93" spans="17:20" ht="30" customHeight="1">
      <c r="Q93" s="170"/>
      <c r="R93" s="170"/>
      <c r="S93" s="180"/>
      <c r="T93" s="186"/>
    </row>
    <row r="94" spans="17:20" ht="15">
      <c r="Q94" s="170"/>
      <c r="R94" s="170"/>
      <c r="S94" s="180"/>
      <c r="T94" s="186"/>
    </row>
    <row r="95" spans="17:20" ht="15">
      <c r="Q95" s="170"/>
      <c r="R95" s="170"/>
      <c r="S95" s="180"/>
      <c r="T95" s="186"/>
    </row>
    <row r="96" spans="17:20" ht="15">
      <c r="Q96" s="170"/>
      <c r="R96" s="170"/>
      <c r="S96" s="180"/>
      <c r="T96" s="186"/>
    </row>
    <row r="97" spans="17:20" ht="30" customHeight="1">
      <c r="Q97" s="170"/>
      <c r="R97" s="170"/>
      <c r="S97" s="180"/>
      <c r="T97" s="186"/>
    </row>
    <row r="98" spans="17:20" ht="15">
      <c r="Q98" s="170"/>
      <c r="R98" s="170"/>
      <c r="S98" s="180"/>
      <c r="T98" s="186"/>
    </row>
    <row r="99" spans="17:20" ht="30" customHeight="1">
      <c r="Q99" s="170"/>
      <c r="R99" s="170"/>
      <c r="S99" s="180"/>
      <c r="T99" s="186"/>
    </row>
    <row r="100" spans="17:20" ht="15">
      <c r="Q100" s="170"/>
      <c r="R100" s="170"/>
      <c r="S100" s="180"/>
      <c r="T100" s="186"/>
    </row>
    <row r="101" spans="17:20" ht="15">
      <c r="Q101" s="170"/>
      <c r="R101" s="170"/>
      <c r="S101" s="180"/>
      <c r="T101" s="186"/>
    </row>
    <row r="102" spans="17:20" ht="15">
      <c r="Q102" s="170"/>
      <c r="R102" s="170"/>
      <c r="S102" s="180"/>
      <c r="T102" s="186"/>
    </row>
    <row r="103" spans="17:20" ht="30" customHeight="1">
      <c r="Q103" s="170"/>
      <c r="R103" s="170"/>
      <c r="S103" s="180"/>
      <c r="T103" s="186"/>
    </row>
    <row r="104" spans="17:20" ht="30" customHeight="1">
      <c r="Q104" s="170"/>
      <c r="R104" s="170"/>
      <c r="S104" s="180"/>
      <c r="T104" s="186"/>
    </row>
    <row r="105" spans="17:20" ht="15">
      <c r="Q105" s="170"/>
      <c r="R105" s="170"/>
      <c r="S105" s="180"/>
      <c r="T105" s="186"/>
    </row>
    <row r="106" spans="17:20" ht="15">
      <c r="Q106" s="170"/>
      <c r="R106" s="170"/>
      <c r="S106" s="180"/>
      <c r="T106" s="186"/>
    </row>
    <row r="107" spans="17:20" ht="15">
      <c r="Q107" s="170"/>
      <c r="R107" s="170"/>
      <c r="S107" s="180"/>
      <c r="T107" s="186"/>
    </row>
    <row r="108" spans="17:20" ht="15">
      <c r="Q108" s="170"/>
      <c r="R108" s="170"/>
      <c r="S108" s="180"/>
      <c r="T108" s="186"/>
    </row>
    <row r="109" spans="17:20" ht="15">
      <c r="Q109" s="170"/>
      <c r="R109" s="170"/>
      <c r="S109" s="180"/>
      <c r="T109" s="186"/>
    </row>
    <row r="110" spans="17:20" ht="15">
      <c r="Q110" s="170"/>
      <c r="R110" s="170"/>
      <c r="S110" s="180"/>
      <c r="T110" s="186"/>
    </row>
    <row r="111" spans="17:20" ht="15">
      <c r="Q111" s="170"/>
      <c r="R111" s="170"/>
      <c r="S111" s="186"/>
      <c r="T111" s="186"/>
    </row>
    <row r="112" spans="17:20" ht="15">
      <c r="Q112" s="170"/>
      <c r="R112" s="170"/>
      <c r="S112" s="180"/>
      <c r="T112" s="186"/>
    </row>
    <row r="113" spans="17:20" ht="15">
      <c r="Q113" s="170"/>
      <c r="R113" s="170"/>
      <c r="S113" s="180"/>
      <c r="T113" s="186"/>
    </row>
    <row r="114" spans="17:20" ht="15">
      <c r="Q114" s="170"/>
      <c r="R114" s="170"/>
      <c r="S114" s="180"/>
      <c r="T114" s="186"/>
    </row>
    <row r="115" spans="17:20" ht="15">
      <c r="Q115" s="170"/>
      <c r="R115" s="170"/>
      <c r="S115" s="180"/>
      <c r="T115" s="186"/>
    </row>
    <row r="116" spans="17:20" ht="15">
      <c r="Q116" s="170"/>
      <c r="R116" s="170"/>
      <c r="S116" s="180"/>
      <c r="T116" s="186"/>
    </row>
    <row r="117" spans="17:20" ht="15">
      <c r="Q117" s="170"/>
      <c r="R117" s="170"/>
      <c r="S117" s="180"/>
      <c r="T117" s="186"/>
    </row>
    <row r="118" spans="17:20" ht="15">
      <c r="Q118" s="170"/>
      <c r="R118" s="170"/>
      <c r="S118" s="180"/>
      <c r="T118" s="186"/>
    </row>
    <row r="119" spans="1:20" s="182" customFormat="1" ht="15">
      <c r="A119" s="22"/>
      <c r="B119" s="178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Q119" s="170"/>
      <c r="R119" s="170"/>
      <c r="S119" s="180"/>
      <c r="T119" s="186"/>
    </row>
    <row r="120" spans="1:20" s="182" customFormat="1" ht="15">
      <c r="A120" s="22"/>
      <c r="B120" s="178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Q120" s="170"/>
      <c r="R120" s="170"/>
      <c r="S120" s="199"/>
      <c r="T120" s="186"/>
    </row>
    <row r="121" spans="1:20" s="182" customFormat="1" ht="15">
      <c r="A121" s="22"/>
      <c r="B121" s="178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Q121" s="170"/>
      <c r="R121" s="170"/>
      <c r="S121" s="199"/>
      <c r="T121" s="186"/>
    </row>
    <row r="122" spans="1:20" s="182" customFormat="1" ht="15">
      <c r="A122" s="22"/>
      <c r="B122" s="178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Q122" s="170"/>
      <c r="R122" s="170"/>
      <c r="S122" s="199"/>
      <c r="T122" s="186"/>
    </row>
    <row r="123" spans="1:20" s="182" customFormat="1" ht="15">
      <c r="A123" s="22"/>
      <c r="B123" s="178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Q123" s="170"/>
      <c r="R123" s="170"/>
      <c r="S123" s="199"/>
      <c r="T123" s="186"/>
    </row>
    <row r="124" spans="1:20" s="182" customFormat="1" ht="15">
      <c r="A124" s="22"/>
      <c r="B124" s="178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Q124" s="170"/>
      <c r="R124" s="170"/>
      <c r="S124" s="199"/>
      <c r="T124" s="186"/>
    </row>
    <row r="125" spans="1:20" s="182" customFormat="1" ht="15">
      <c r="A125" s="22"/>
      <c r="B125" s="178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Q125" s="170"/>
      <c r="R125" s="170"/>
      <c r="S125" s="199"/>
      <c r="T125" s="186"/>
    </row>
    <row r="126" spans="17:20" ht="15">
      <c r="Q126" s="170"/>
      <c r="R126" s="170"/>
      <c r="S126" s="180"/>
      <c r="T126" s="186"/>
    </row>
    <row r="127" spans="1:20" s="182" customFormat="1" ht="30" customHeight="1">
      <c r="A127" s="22"/>
      <c r="B127" s="178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Q127" s="170"/>
      <c r="R127" s="170"/>
      <c r="S127" s="199"/>
      <c r="T127" s="186"/>
    </row>
    <row r="128" spans="17:20" ht="15">
      <c r="Q128" s="170"/>
      <c r="R128" s="170"/>
      <c r="S128" s="186"/>
      <c r="T128" s="186"/>
    </row>
    <row r="129" spans="17:20" ht="15">
      <c r="Q129" s="170"/>
      <c r="R129" s="170"/>
      <c r="S129" s="180"/>
      <c r="T129" s="186"/>
    </row>
    <row r="130" spans="17:20" ht="15">
      <c r="Q130" s="170"/>
      <c r="R130" s="170"/>
      <c r="S130" s="180"/>
      <c r="T130" s="186"/>
    </row>
    <row r="131" spans="17:20" ht="15">
      <c r="Q131" s="170"/>
      <c r="R131" s="170"/>
      <c r="S131" s="180"/>
      <c r="T131" s="186"/>
    </row>
    <row r="132" spans="17:20" ht="15">
      <c r="Q132" s="170"/>
      <c r="R132" s="170"/>
      <c r="S132" s="180"/>
      <c r="T132" s="186"/>
    </row>
    <row r="133" spans="17:20" ht="15">
      <c r="Q133" s="170"/>
      <c r="R133" s="170"/>
      <c r="S133" s="180"/>
      <c r="T133" s="186"/>
    </row>
    <row r="134" spans="17:20" ht="15">
      <c r="Q134" s="170"/>
      <c r="R134" s="170"/>
      <c r="S134" s="180"/>
      <c r="T134" s="186"/>
    </row>
    <row r="135" spans="17:20" ht="15">
      <c r="Q135" s="170"/>
      <c r="R135" s="170"/>
      <c r="S135" s="180"/>
      <c r="T135" s="186"/>
    </row>
    <row r="136" spans="17:20" ht="15">
      <c r="Q136" s="170"/>
      <c r="R136" s="170"/>
      <c r="S136" s="180"/>
      <c r="T136" s="186"/>
    </row>
    <row r="137" spans="17:20" ht="15">
      <c r="Q137" s="170"/>
      <c r="R137" s="170"/>
      <c r="S137" s="180"/>
      <c r="T137" s="186"/>
    </row>
    <row r="138" spans="17:20" ht="15">
      <c r="Q138" s="170"/>
      <c r="R138" s="170"/>
      <c r="S138" s="180"/>
      <c r="T138" s="186"/>
    </row>
    <row r="139" spans="17:20" ht="15">
      <c r="Q139" s="170"/>
      <c r="R139" s="170"/>
      <c r="S139" s="180"/>
      <c r="T139" s="186"/>
    </row>
    <row r="140" spans="17:20" ht="15">
      <c r="Q140" s="170"/>
      <c r="R140" s="170"/>
      <c r="S140" s="180"/>
      <c r="T140" s="186"/>
    </row>
    <row r="141" spans="17:20" ht="15">
      <c r="Q141" s="170"/>
      <c r="R141" s="170"/>
      <c r="S141" s="180"/>
      <c r="T141" s="186"/>
    </row>
    <row r="142" spans="17:20" ht="15">
      <c r="Q142" s="170"/>
      <c r="R142" s="170"/>
      <c r="S142" s="180"/>
      <c r="T142" s="186"/>
    </row>
    <row r="143" spans="17:20" ht="17.25" customHeight="1">
      <c r="Q143" s="170"/>
      <c r="R143" s="170"/>
      <c r="S143" s="180"/>
      <c r="T143" s="186"/>
    </row>
    <row r="144" spans="17:20" ht="15">
      <c r="Q144" s="170"/>
      <c r="R144" s="170"/>
      <c r="S144" s="180"/>
      <c r="T144" s="186"/>
    </row>
    <row r="145" spans="17:20" ht="15">
      <c r="Q145" s="170"/>
      <c r="R145" s="170"/>
      <c r="S145" s="180"/>
      <c r="T145" s="186"/>
    </row>
    <row r="146" spans="17:20" ht="15">
      <c r="Q146" s="170"/>
      <c r="R146" s="170"/>
      <c r="S146" s="180"/>
      <c r="T146" s="186"/>
    </row>
    <row r="147" spans="17:20" ht="15">
      <c r="Q147" s="170"/>
      <c r="R147" s="170"/>
      <c r="S147" s="180"/>
      <c r="T147" s="186"/>
    </row>
    <row r="148" spans="17:20" ht="15">
      <c r="Q148" s="170"/>
      <c r="R148" s="170"/>
      <c r="S148" s="180"/>
      <c r="T148" s="186"/>
    </row>
    <row r="149" spans="17:20" ht="15">
      <c r="Q149" s="170"/>
      <c r="R149" s="170"/>
      <c r="S149" s="180"/>
      <c r="T149" s="186"/>
    </row>
    <row r="150" spans="17:20" ht="15">
      <c r="Q150" s="170"/>
      <c r="R150" s="170"/>
      <c r="S150" s="180"/>
      <c r="T150" s="186"/>
    </row>
    <row r="151" spans="17:20" ht="15">
      <c r="Q151" s="170"/>
      <c r="R151" s="170"/>
      <c r="S151" s="180"/>
      <c r="T151" s="186"/>
    </row>
    <row r="152" spans="17:20" ht="15">
      <c r="Q152" s="170"/>
      <c r="R152" s="170"/>
      <c r="S152" s="180"/>
      <c r="T152" s="186"/>
    </row>
    <row r="153" spans="17:20" ht="15">
      <c r="Q153" s="170"/>
      <c r="R153" s="170"/>
      <c r="S153" s="180"/>
      <c r="T153" s="186"/>
    </row>
    <row r="154" spans="17:20" ht="15">
      <c r="Q154" s="170"/>
      <c r="R154" s="170"/>
      <c r="S154" s="180"/>
      <c r="T154" s="186"/>
    </row>
    <row r="155" spans="17:20" ht="15">
      <c r="Q155" s="170"/>
      <c r="R155" s="170"/>
      <c r="S155" s="180"/>
      <c r="T155" s="186"/>
    </row>
    <row r="156" spans="17:20" ht="15">
      <c r="Q156" s="170"/>
      <c r="R156" s="170"/>
      <c r="S156" s="180"/>
      <c r="T156" s="269"/>
    </row>
    <row r="157" spans="17:20" ht="15">
      <c r="Q157" s="170"/>
      <c r="R157" s="170"/>
      <c r="S157" s="180"/>
      <c r="T157" s="186"/>
    </row>
    <row r="158" spans="17:20" ht="15">
      <c r="Q158" s="170"/>
      <c r="R158" s="170"/>
      <c r="S158" s="180"/>
      <c r="T158" s="186"/>
    </row>
    <row r="159" spans="17:20" ht="15">
      <c r="Q159" s="170"/>
      <c r="R159" s="170"/>
      <c r="S159" s="180"/>
      <c r="T159" s="186"/>
    </row>
    <row r="160" spans="17:20" ht="15">
      <c r="Q160" s="170"/>
      <c r="R160" s="170"/>
      <c r="S160" s="180"/>
      <c r="T160" s="186"/>
    </row>
    <row r="161" spans="17:20" ht="15">
      <c r="Q161" s="170"/>
      <c r="R161" s="170"/>
      <c r="S161" s="180"/>
      <c r="T161" s="186"/>
    </row>
    <row r="162" spans="17:20" ht="15">
      <c r="Q162" s="170"/>
      <c r="R162" s="170"/>
      <c r="S162" s="180"/>
      <c r="T162" s="186"/>
    </row>
    <row r="163" spans="17:20" ht="15">
      <c r="Q163" s="170"/>
      <c r="R163" s="170"/>
      <c r="S163" s="180"/>
      <c r="T163" s="186"/>
    </row>
    <row r="164" spans="17:20" ht="15">
      <c r="Q164" s="170"/>
      <c r="R164" s="170"/>
      <c r="S164" s="180"/>
      <c r="T164" s="186"/>
    </row>
    <row r="165" spans="17:20" ht="15">
      <c r="Q165" s="170"/>
      <c r="R165" s="170"/>
      <c r="S165" s="180"/>
      <c r="T165" s="186"/>
    </row>
    <row r="166" spans="17:20" ht="15">
      <c r="Q166" s="170"/>
      <c r="R166" s="170"/>
      <c r="S166" s="180"/>
      <c r="T166" s="186"/>
    </row>
    <row r="167" spans="17:20" ht="15">
      <c r="Q167" s="170"/>
      <c r="R167" s="170"/>
      <c r="S167" s="180"/>
      <c r="T167" s="186"/>
    </row>
    <row r="168" spans="17:20" ht="15">
      <c r="Q168" s="170"/>
      <c r="R168" s="170"/>
      <c r="S168" s="180"/>
      <c r="T168" s="186"/>
    </row>
    <row r="169" spans="17:20" ht="15">
      <c r="Q169" s="170"/>
      <c r="R169" s="170"/>
      <c r="S169" s="180"/>
      <c r="T169" s="186"/>
    </row>
    <row r="170" spans="17:20" ht="15">
      <c r="Q170" s="170"/>
      <c r="R170" s="170"/>
      <c r="S170" s="180"/>
      <c r="T170" s="186"/>
    </row>
    <row r="171" spans="17:20" ht="15">
      <c r="Q171" s="170"/>
      <c r="R171" s="170"/>
      <c r="S171" s="180"/>
      <c r="T171" s="186"/>
    </row>
    <row r="172" spans="17:20" ht="15">
      <c r="Q172" s="170"/>
      <c r="R172" s="170"/>
      <c r="S172" s="180"/>
      <c r="T172" s="186"/>
    </row>
    <row r="173" spans="17:20" ht="15">
      <c r="Q173" s="170"/>
      <c r="R173" s="170"/>
      <c r="S173" s="180"/>
      <c r="T173" s="186"/>
    </row>
    <row r="174" spans="17:20" ht="15">
      <c r="Q174" s="170"/>
      <c r="R174" s="170"/>
      <c r="S174" s="186"/>
      <c r="T174" s="186"/>
    </row>
    <row r="175" spans="1:20" s="182" customFormat="1" ht="15">
      <c r="A175" s="22"/>
      <c r="B175" s="178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Q175" s="170"/>
      <c r="R175" s="170"/>
      <c r="S175" s="180"/>
      <c r="T175" s="186"/>
    </row>
    <row r="176" spans="1:20" s="182" customFormat="1" ht="15">
      <c r="A176" s="22"/>
      <c r="B176" s="178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Q176" s="170"/>
      <c r="R176" s="170"/>
      <c r="S176" s="199"/>
      <c r="T176" s="186"/>
    </row>
    <row r="177" spans="1:20" s="182" customFormat="1" ht="28.5" customHeight="1">
      <c r="A177" s="22"/>
      <c r="B177" s="178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Q177" s="170"/>
      <c r="R177" s="170"/>
      <c r="S177" s="180"/>
      <c r="T177" s="186"/>
    </row>
    <row r="178" spans="17:20" ht="15">
      <c r="Q178" s="170"/>
      <c r="R178" s="170"/>
      <c r="S178" s="180"/>
      <c r="T178" s="186"/>
    </row>
    <row r="179" spans="17:20" ht="15">
      <c r="Q179" s="170"/>
      <c r="R179" s="170"/>
      <c r="S179" s="180"/>
      <c r="T179" s="186"/>
    </row>
    <row r="180" spans="17:20" ht="15">
      <c r="Q180" s="170"/>
      <c r="R180" s="170"/>
      <c r="S180" s="180"/>
      <c r="T180" s="186"/>
    </row>
    <row r="181" spans="17:20" ht="15">
      <c r="Q181" s="170"/>
      <c r="R181" s="170"/>
      <c r="S181" s="186"/>
      <c r="T181" s="186"/>
    </row>
    <row r="182" spans="17:20" ht="15">
      <c r="Q182" s="170"/>
      <c r="R182" s="170"/>
      <c r="S182" s="180"/>
      <c r="T182" s="186"/>
    </row>
    <row r="183" spans="17:20" ht="15">
      <c r="Q183" s="170"/>
      <c r="R183" s="170"/>
      <c r="S183" s="180"/>
      <c r="T183" s="186"/>
    </row>
    <row r="184" spans="17:20" ht="15">
      <c r="Q184" s="170"/>
      <c r="R184" s="170"/>
      <c r="S184" s="180"/>
      <c r="T184" s="186"/>
    </row>
    <row r="185" spans="17:20" ht="15">
      <c r="Q185" s="170"/>
      <c r="R185" s="170"/>
      <c r="S185" s="180"/>
      <c r="T185" s="186"/>
    </row>
    <row r="186" spans="17:20" ht="15">
      <c r="Q186" s="170"/>
      <c r="R186" s="170"/>
      <c r="S186" s="186"/>
      <c r="T186" s="186"/>
    </row>
    <row r="187" spans="17:20" ht="15">
      <c r="Q187" s="170"/>
      <c r="R187" s="170"/>
      <c r="S187" s="180"/>
      <c r="T187" s="186"/>
    </row>
    <row r="188" spans="17:20" ht="15">
      <c r="Q188" s="170"/>
      <c r="R188" s="170"/>
      <c r="S188" s="180"/>
      <c r="T188" s="186"/>
    </row>
    <row r="189" spans="17:20" ht="15">
      <c r="Q189" s="170"/>
      <c r="R189" s="170"/>
      <c r="S189" s="180"/>
      <c r="T189" s="186"/>
    </row>
    <row r="190" spans="17:20" ht="15">
      <c r="Q190" s="170"/>
      <c r="R190" s="170"/>
      <c r="S190" s="180"/>
      <c r="T190" s="186"/>
    </row>
    <row r="191" spans="17:20" ht="15">
      <c r="Q191" s="170"/>
      <c r="R191" s="170"/>
      <c r="S191" s="180"/>
      <c r="T191" s="186"/>
    </row>
    <row r="192" spans="17:20" ht="15">
      <c r="Q192" s="170"/>
      <c r="R192" s="170"/>
      <c r="S192" s="180"/>
      <c r="T192" s="186"/>
    </row>
    <row r="193" spans="17:20" ht="15">
      <c r="Q193" s="170"/>
      <c r="R193" s="170"/>
      <c r="S193" s="180"/>
      <c r="T193" s="186"/>
    </row>
    <row r="194" spans="17:20" ht="15">
      <c r="Q194" s="170"/>
      <c r="R194" s="170"/>
      <c r="S194" s="180"/>
      <c r="T194" s="186"/>
    </row>
    <row r="195" spans="17:20" ht="15">
      <c r="Q195" s="170"/>
      <c r="R195" s="170"/>
      <c r="S195" s="180"/>
      <c r="T195" s="186"/>
    </row>
    <row r="196" spans="17:20" ht="15">
      <c r="Q196" s="170"/>
      <c r="R196" s="170"/>
      <c r="S196" s="180"/>
      <c r="T196" s="186"/>
    </row>
    <row r="197" spans="17:20" ht="15">
      <c r="Q197" s="170"/>
      <c r="R197" s="170"/>
      <c r="S197" s="180"/>
      <c r="T197" s="186"/>
    </row>
    <row r="198" spans="17:20" ht="15">
      <c r="Q198" s="170"/>
      <c r="R198" s="170"/>
      <c r="S198" s="180"/>
      <c r="T198" s="186"/>
    </row>
    <row r="199" spans="17:20" ht="15">
      <c r="Q199" s="170"/>
      <c r="R199" s="170"/>
      <c r="S199" s="180"/>
      <c r="T199" s="186"/>
    </row>
    <row r="200" spans="17:20" ht="15">
      <c r="Q200" s="170"/>
      <c r="R200" s="170"/>
      <c r="S200" s="180"/>
      <c r="T200" s="186"/>
    </row>
    <row r="201" spans="17:20" ht="15">
      <c r="Q201" s="170"/>
      <c r="R201" s="170"/>
      <c r="S201" s="180"/>
      <c r="T201" s="186"/>
    </row>
    <row r="202" spans="17:20" ht="15">
      <c r="Q202" s="170"/>
      <c r="R202" s="170"/>
      <c r="S202" s="180"/>
      <c r="T202" s="186"/>
    </row>
    <row r="203" spans="17:20" ht="15">
      <c r="Q203" s="170"/>
      <c r="R203" s="170"/>
      <c r="S203" s="180"/>
      <c r="T203" s="186"/>
    </row>
    <row r="204" spans="17:20" ht="15">
      <c r="Q204" s="170"/>
      <c r="R204" s="170"/>
      <c r="S204" s="180"/>
      <c r="T204" s="186"/>
    </row>
    <row r="205" spans="17:20" ht="15">
      <c r="Q205" s="170"/>
      <c r="R205" s="170"/>
      <c r="S205" s="180"/>
      <c r="T205" s="186"/>
    </row>
    <row r="206" spans="17:20" ht="15">
      <c r="Q206" s="170"/>
      <c r="R206" s="170"/>
      <c r="S206" s="180"/>
      <c r="T206" s="186"/>
    </row>
    <row r="207" spans="17:20" ht="15">
      <c r="Q207" s="170"/>
      <c r="R207" s="170"/>
      <c r="S207" s="180"/>
      <c r="T207" s="186"/>
    </row>
    <row r="208" spans="17:20" ht="15">
      <c r="Q208" s="170"/>
      <c r="R208" s="170"/>
      <c r="S208" s="180"/>
      <c r="T208" s="186"/>
    </row>
    <row r="209" spans="17:20" ht="15">
      <c r="Q209" s="170"/>
      <c r="R209" s="170"/>
      <c r="S209" s="180"/>
      <c r="T209" s="186"/>
    </row>
    <row r="210" spans="17:20" ht="15">
      <c r="Q210" s="170"/>
      <c r="R210" s="170"/>
      <c r="S210" s="180"/>
      <c r="T210" s="186"/>
    </row>
    <row r="211" spans="17:20" ht="15">
      <c r="Q211" s="170"/>
      <c r="R211" s="170"/>
      <c r="S211" s="180"/>
      <c r="T211" s="186"/>
    </row>
    <row r="212" spans="17:20" ht="15">
      <c r="Q212" s="170"/>
      <c r="R212" s="170"/>
      <c r="S212" s="180"/>
      <c r="T212" s="186"/>
    </row>
    <row r="213" spans="17:20" ht="15">
      <c r="Q213" s="170"/>
      <c r="R213" s="170"/>
      <c r="S213" s="180"/>
      <c r="T213" s="186"/>
    </row>
    <row r="214" spans="1:20" s="182" customFormat="1" ht="15">
      <c r="A214" s="22"/>
      <c r="B214" s="178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Q214" s="170"/>
      <c r="R214" s="170"/>
      <c r="S214" s="180"/>
      <c r="T214" s="186"/>
    </row>
    <row r="215" spans="17:20" ht="15">
      <c r="Q215" s="170"/>
      <c r="R215" s="170"/>
      <c r="S215" s="180"/>
      <c r="T215" s="186"/>
    </row>
    <row r="216" spans="17:20" ht="15">
      <c r="Q216" s="170"/>
      <c r="R216" s="170"/>
      <c r="S216" s="180"/>
      <c r="T216" s="186"/>
    </row>
    <row r="217" spans="17:20" ht="15">
      <c r="Q217" s="170"/>
      <c r="R217" s="170"/>
      <c r="S217" s="180"/>
      <c r="T217" s="186"/>
    </row>
    <row r="218" spans="17:20" ht="15">
      <c r="Q218" s="170"/>
      <c r="R218" s="170"/>
      <c r="S218" s="180"/>
      <c r="T218" s="186"/>
    </row>
    <row r="219" spans="17:20" ht="15">
      <c r="Q219" s="170"/>
      <c r="R219" s="170"/>
      <c r="S219" s="180"/>
      <c r="T219" s="186"/>
    </row>
    <row r="220" spans="17:20" ht="15">
      <c r="Q220" s="170"/>
      <c r="R220" s="170"/>
      <c r="S220" s="180"/>
      <c r="T220" s="186"/>
    </row>
    <row r="221" spans="17:20" ht="15">
      <c r="Q221" s="170"/>
      <c r="R221" s="170"/>
      <c r="S221" s="180"/>
      <c r="T221" s="186"/>
    </row>
    <row r="222" spans="17:20" ht="15">
      <c r="Q222" s="170"/>
      <c r="R222" s="170"/>
      <c r="S222" s="180"/>
      <c r="T222" s="186"/>
    </row>
    <row r="223" spans="17:20" ht="15">
      <c r="Q223" s="170"/>
      <c r="R223" s="170"/>
      <c r="S223" s="180"/>
      <c r="T223" s="186"/>
    </row>
    <row r="224" spans="17:20" ht="15">
      <c r="Q224" s="170"/>
      <c r="R224" s="170"/>
      <c r="S224" s="180"/>
      <c r="T224" s="186"/>
    </row>
    <row r="225" spans="17:20" ht="15">
      <c r="Q225" s="170"/>
      <c r="R225" s="170"/>
      <c r="S225" s="180"/>
      <c r="T225" s="186"/>
    </row>
    <row r="226" spans="17:20" ht="15">
      <c r="Q226" s="170"/>
      <c r="R226" s="170"/>
      <c r="S226" s="180"/>
      <c r="T226" s="186"/>
    </row>
    <row r="227" spans="17:20" ht="15">
      <c r="Q227" s="170"/>
      <c r="R227" s="170"/>
      <c r="S227" s="180"/>
      <c r="T227" s="186"/>
    </row>
    <row r="228" spans="17:20" ht="15">
      <c r="Q228" s="170"/>
      <c r="R228" s="170"/>
      <c r="S228" s="180"/>
      <c r="T228" s="186"/>
    </row>
    <row r="229" spans="17:20" ht="15">
      <c r="Q229" s="170"/>
      <c r="R229" s="170"/>
      <c r="S229" s="180"/>
      <c r="T229" s="186"/>
    </row>
    <row r="230" spans="17:20" ht="15">
      <c r="Q230" s="170"/>
      <c r="R230" s="170"/>
      <c r="S230" s="180"/>
      <c r="T230" s="186"/>
    </row>
    <row r="231" spans="17:20" ht="15">
      <c r="Q231" s="170"/>
      <c r="R231" s="170"/>
      <c r="S231" s="180"/>
      <c r="T231" s="186"/>
    </row>
    <row r="232" spans="17:20" ht="15">
      <c r="Q232" s="170"/>
      <c r="R232" s="170"/>
      <c r="S232" s="180"/>
      <c r="T232" s="186"/>
    </row>
    <row r="233" spans="17:20" ht="15">
      <c r="Q233" s="170"/>
      <c r="R233" s="170"/>
      <c r="S233" s="180"/>
      <c r="T233" s="186"/>
    </row>
    <row r="234" spans="17:20" ht="15">
      <c r="Q234" s="170"/>
      <c r="R234" s="170"/>
      <c r="S234" s="186"/>
      <c r="T234" s="186"/>
    </row>
    <row r="235" spans="17:20" ht="15">
      <c r="Q235" s="170"/>
      <c r="R235" s="170"/>
      <c r="S235" s="180"/>
      <c r="T235" s="186"/>
    </row>
    <row r="236" spans="17:20" ht="15">
      <c r="Q236" s="170"/>
      <c r="R236" s="170"/>
      <c r="S236" s="180"/>
      <c r="T236" s="186"/>
    </row>
    <row r="237" spans="17:20" ht="15">
      <c r="Q237" s="170"/>
      <c r="R237" s="170"/>
      <c r="S237" s="180"/>
      <c r="T237" s="186"/>
    </row>
    <row r="238" spans="17:20" ht="15">
      <c r="Q238" s="170"/>
      <c r="R238" s="170"/>
      <c r="S238" s="180"/>
      <c r="T238" s="186"/>
    </row>
    <row r="239" spans="17:20" ht="15">
      <c r="Q239" s="170"/>
      <c r="R239" s="170"/>
      <c r="S239" s="180"/>
      <c r="T239" s="186"/>
    </row>
    <row r="240" spans="17:20" ht="15">
      <c r="Q240" s="170"/>
      <c r="R240" s="170"/>
      <c r="S240" s="180"/>
      <c r="T240" s="186"/>
    </row>
    <row r="241" spans="17:20" ht="15">
      <c r="Q241" s="170"/>
      <c r="R241" s="170"/>
      <c r="S241" s="180"/>
      <c r="T241" s="186"/>
    </row>
    <row r="242" spans="17:20" ht="15">
      <c r="Q242" s="170"/>
      <c r="R242" s="170"/>
      <c r="S242" s="180"/>
      <c r="T242" s="186"/>
    </row>
    <row r="243" spans="17:20" ht="15">
      <c r="Q243" s="170"/>
      <c r="R243" s="170"/>
      <c r="S243" s="180"/>
      <c r="T243" s="186"/>
    </row>
    <row r="244" spans="17:20" ht="15">
      <c r="Q244" s="170"/>
      <c r="R244" s="170"/>
      <c r="S244" s="180"/>
      <c r="T244" s="186"/>
    </row>
    <row r="245" spans="17:20" ht="15">
      <c r="Q245" s="170"/>
      <c r="R245" s="170"/>
      <c r="S245" s="180"/>
      <c r="T245" s="186"/>
    </row>
    <row r="246" spans="17:20" ht="15">
      <c r="Q246" s="170"/>
      <c r="R246" s="170"/>
      <c r="S246" s="180"/>
      <c r="T246" s="186"/>
    </row>
    <row r="247" spans="17:20" ht="15">
      <c r="Q247" s="170"/>
      <c r="R247" s="170"/>
      <c r="S247" s="180"/>
      <c r="T247" s="186"/>
    </row>
    <row r="248" spans="17:20" ht="15">
      <c r="Q248" s="170"/>
      <c r="R248" s="170"/>
      <c r="S248" s="180"/>
      <c r="T248" s="186"/>
    </row>
    <row r="249" spans="17:20" ht="15">
      <c r="Q249" s="170"/>
      <c r="R249" s="170"/>
      <c r="S249" s="180"/>
      <c r="T249" s="186"/>
    </row>
    <row r="250" spans="17:20" ht="15">
      <c r="Q250" s="170"/>
      <c r="R250" s="170"/>
      <c r="S250" s="180"/>
      <c r="T250" s="186"/>
    </row>
    <row r="251" spans="17:20" ht="15">
      <c r="Q251" s="170"/>
      <c r="R251" s="170"/>
      <c r="S251" s="180"/>
      <c r="T251" s="186"/>
    </row>
    <row r="252" spans="17:20" ht="15">
      <c r="Q252" s="170"/>
      <c r="R252" s="170"/>
      <c r="S252" s="180"/>
      <c r="T252" s="186"/>
    </row>
    <row r="253" spans="17:20" ht="15">
      <c r="Q253" s="170"/>
      <c r="R253" s="170"/>
      <c r="S253" s="180"/>
      <c r="T253" s="186"/>
    </row>
    <row r="254" spans="17:20" ht="15">
      <c r="Q254" s="170"/>
      <c r="R254" s="170"/>
      <c r="S254" s="180"/>
      <c r="T254" s="186"/>
    </row>
    <row r="255" spans="17:20" ht="15">
      <c r="Q255" s="170"/>
      <c r="R255" s="170"/>
      <c r="S255" s="180"/>
      <c r="T255" s="186"/>
    </row>
    <row r="256" spans="17:20" ht="15">
      <c r="Q256" s="170"/>
      <c r="R256" s="170"/>
      <c r="S256" s="180"/>
      <c r="T256" s="186"/>
    </row>
    <row r="257" spans="17:20" ht="15">
      <c r="Q257" s="170"/>
      <c r="R257" s="170"/>
      <c r="S257" s="180"/>
      <c r="T257" s="186"/>
    </row>
    <row r="258" spans="17:20" ht="15">
      <c r="Q258" s="170"/>
      <c r="R258" s="170"/>
      <c r="S258" s="180"/>
      <c r="T258" s="186"/>
    </row>
    <row r="259" spans="17:20" ht="15">
      <c r="Q259" s="170"/>
      <c r="R259" s="170"/>
      <c r="S259" s="180"/>
      <c r="T259" s="186"/>
    </row>
    <row r="260" spans="17:20" ht="15">
      <c r="Q260" s="170"/>
      <c r="R260" s="170"/>
      <c r="S260" s="180"/>
      <c r="T260" s="186"/>
    </row>
    <row r="261" spans="17:20" ht="15">
      <c r="Q261" s="170"/>
      <c r="R261" s="170"/>
      <c r="S261" s="180"/>
      <c r="T261" s="186"/>
    </row>
    <row r="262" spans="17:20" ht="15">
      <c r="Q262" s="170"/>
      <c r="R262" s="170"/>
      <c r="S262" s="180"/>
      <c r="T262" s="186"/>
    </row>
    <row r="263" spans="17:20" ht="15">
      <c r="Q263" s="170"/>
      <c r="R263" s="170"/>
      <c r="S263" s="180"/>
      <c r="T263" s="186"/>
    </row>
    <row r="264" spans="17:20" ht="15">
      <c r="Q264" s="170"/>
      <c r="R264" s="170"/>
      <c r="S264" s="180"/>
      <c r="T264" s="186"/>
    </row>
    <row r="265" spans="17:20" ht="15">
      <c r="Q265" s="170"/>
      <c r="R265" s="170"/>
      <c r="S265" s="180"/>
      <c r="T265" s="186"/>
    </row>
    <row r="266" spans="17:20" ht="15">
      <c r="Q266" s="170"/>
      <c r="R266" s="170"/>
      <c r="S266" s="180"/>
      <c r="T266" s="186"/>
    </row>
    <row r="267" spans="17:20" ht="15">
      <c r="Q267" s="170"/>
      <c r="R267" s="170"/>
      <c r="S267" s="180"/>
      <c r="T267" s="186"/>
    </row>
    <row r="268" spans="17:20" ht="15">
      <c r="Q268" s="170"/>
      <c r="R268" s="170"/>
      <c r="S268" s="180"/>
      <c r="T268" s="186"/>
    </row>
    <row r="269" spans="17:20" ht="15">
      <c r="Q269" s="170"/>
      <c r="R269" s="170"/>
      <c r="S269" s="180"/>
      <c r="T269" s="186"/>
    </row>
    <row r="270" spans="17:20" ht="15">
      <c r="Q270" s="170"/>
      <c r="R270" s="170"/>
      <c r="S270" s="180"/>
      <c r="T270" s="186"/>
    </row>
    <row r="271" spans="17:20" ht="15">
      <c r="Q271" s="170"/>
      <c r="R271" s="170"/>
      <c r="S271" s="180"/>
      <c r="T271" s="186"/>
    </row>
    <row r="272" spans="17:20" ht="15" customHeight="1">
      <c r="Q272" s="170"/>
      <c r="R272" s="170"/>
      <c r="S272" s="180"/>
      <c r="T272" s="186"/>
    </row>
    <row r="273" spans="17:20" ht="15">
      <c r="Q273" s="170"/>
      <c r="R273" s="170"/>
      <c r="S273" s="180"/>
      <c r="T273" s="186"/>
    </row>
    <row r="274" spans="17:20" ht="15">
      <c r="Q274" s="170"/>
      <c r="R274" s="170"/>
      <c r="S274" s="180"/>
      <c r="T274" s="186"/>
    </row>
    <row r="275" spans="17:20" ht="15">
      <c r="Q275" s="170"/>
      <c r="R275" s="170"/>
      <c r="S275" s="180"/>
      <c r="T275" s="186"/>
    </row>
    <row r="276" spans="17:20" ht="15">
      <c r="Q276" s="170"/>
      <c r="R276" s="170"/>
      <c r="S276" s="180"/>
      <c r="T276" s="186"/>
    </row>
    <row r="277" spans="17:20" ht="15">
      <c r="Q277" s="170"/>
      <c r="R277" s="170"/>
      <c r="S277" s="180"/>
      <c r="T277" s="186"/>
    </row>
    <row r="278" spans="17:20" ht="15">
      <c r="Q278" s="170"/>
      <c r="R278" s="170"/>
      <c r="S278" s="180"/>
      <c r="T278" s="186"/>
    </row>
    <row r="279" spans="17:20" ht="15">
      <c r="Q279" s="170"/>
      <c r="R279" s="170"/>
      <c r="S279" s="180"/>
      <c r="T279" s="186"/>
    </row>
    <row r="280" spans="17:20" ht="15">
      <c r="Q280" s="170"/>
      <c r="R280" s="170"/>
      <c r="S280" s="180"/>
      <c r="T280" s="186"/>
    </row>
    <row r="281" spans="17:20" ht="15">
      <c r="Q281" s="170"/>
      <c r="R281" s="170"/>
      <c r="S281" s="180"/>
      <c r="T281" s="186"/>
    </row>
    <row r="282" spans="17:20" ht="15">
      <c r="Q282" s="170"/>
      <c r="R282" s="170"/>
      <c r="S282" s="180"/>
      <c r="T282" s="186"/>
    </row>
    <row r="283" spans="17:20" ht="15">
      <c r="Q283" s="170"/>
      <c r="R283" s="170"/>
      <c r="S283" s="180"/>
      <c r="T283" s="186"/>
    </row>
    <row r="284" spans="17:20" ht="15">
      <c r="Q284" s="170"/>
      <c r="R284" s="170"/>
      <c r="S284" s="180"/>
      <c r="T284" s="186"/>
    </row>
    <row r="285" spans="17:20" ht="15">
      <c r="Q285" s="170"/>
      <c r="R285" s="170"/>
      <c r="S285" s="180"/>
      <c r="T285" s="186"/>
    </row>
    <row r="286" spans="17:20" ht="15">
      <c r="Q286" s="170"/>
      <c r="R286" s="170"/>
      <c r="S286" s="180"/>
      <c r="T286" s="186"/>
    </row>
    <row r="287" spans="17:20" ht="15">
      <c r="Q287" s="170"/>
      <c r="R287" s="170"/>
      <c r="S287" s="180"/>
      <c r="T287" s="186"/>
    </row>
    <row r="288" spans="17:20" ht="15">
      <c r="Q288" s="170"/>
      <c r="R288" s="170"/>
      <c r="S288" s="180"/>
      <c r="T288" s="186"/>
    </row>
    <row r="289" spans="17:20" ht="15">
      <c r="Q289" s="170"/>
      <c r="R289" s="170"/>
      <c r="S289" s="180"/>
      <c r="T289" s="186"/>
    </row>
    <row r="290" spans="17:20" ht="15">
      <c r="Q290" s="170"/>
      <c r="R290" s="170"/>
      <c r="S290" s="180"/>
      <c r="T290" s="186"/>
    </row>
    <row r="291" spans="17:20" ht="15">
      <c r="Q291" s="170"/>
      <c r="R291" s="170"/>
      <c r="S291" s="180"/>
      <c r="T291" s="186"/>
    </row>
    <row r="292" spans="17:20" ht="30.75" customHeight="1">
      <c r="Q292" s="170"/>
      <c r="R292" s="170"/>
      <c r="S292" s="180"/>
      <c r="T292" s="186"/>
    </row>
    <row r="293" spans="17:20" ht="30.75" customHeight="1">
      <c r="Q293" s="170"/>
      <c r="R293" s="170"/>
      <c r="S293" s="180"/>
      <c r="T293" s="186"/>
    </row>
    <row r="294" spans="17:20" ht="15">
      <c r="Q294" s="170"/>
      <c r="R294" s="170"/>
      <c r="S294" s="180"/>
      <c r="T294" s="186"/>
    </row>
    <row r="295" spans="17:20" ht="30.75" customHeight="1">
      <c r="Q295" s="170"/>
      <c r="R295" s="170"/>
      <c r="S295" s="180"/>
      <c r="T295" s="186"/>
    </row>
    <row r="296" spans="17:20" ht="15">
      <c r="Q296" s="170"/>
      <c r="R296" s="170"/>
      <c r="S296" s="180"/>
      <c r="T296" s="186"/>
    </row>
    <row r="297" spans="17:20" ht="15">
      <c r="Q297" s="170"/>
      <c r="R297" s="170"/>
      <c r="S297" s="180"/>
      <c r="T297" s="186"/>
    </row>
    <row r="298" spans="17:20" ht="15">
      <c r="Q298" s="170"/>
      <c r="R298" s="170"/>
      <c r="S298" s="180"/>
      <c r="T298" s="186"/>
    </row>
    <row r="299" spans="17:20" ht="15">
      <c r="Q299" s="170"/>
      <c r="R299" s="170"/>
      <c r="S299" s="180"/>
      <c r="T299" s="186"/>
    </row>
    <row r="300" spans="17:20" ht="15">
      <c r="Q300" s="170"/>
      <c r="R300" s="170"/>
      <c r="S300" s="180"/>
      <c r="T300" s="186"/>
    </row>
    <row r="301" spans="17:20" ht="15">
      <c r="Q301" s="170"/>
      <c r="R301" s="170"/>
      <c r="S301" s="180"/>
      <c r="T301" s="186"/>
    </row>
    <row r="302" spans="17:20" ht="15">
      <c r="Q302" s="170"/>
      <c r="R302" s="170"/>
      <c r="S302" s="180"/>
      <c r="T302" s="186"/>
    </row>
    <row r="303" spans="17:20" ht="15">
      <c r="Q303" s="170"/>
      <c r="R303" s="170"/>
      <c r="S303" s="180"/>
      <c r="T303" s="186"/>
    </row>
    <row r="304" spans="17:20" ht="15">
      <c r="Q304" s="170"/>
      <c r="R304" s="170"/>
      <c r="S304" s="180"/>
      <c r="T304" s="186"/>
    </row>
    <row r="305" spans="17:20" ht="15">
      <c r="Q305" s="170"/>
      <c r="R305" s="170"/>
      <c r="S305" s="180"/>
      <c r="T305" s="186"/>
    </row>
    <row r="306" spans="17:20" ht="15">
      <c r="Q306" s="170"/>
      <c r="R306" s="170"/>
      <c r="S306" s="180"/>
      <c r="T306" s="186"/>
    </row>
    <row r="307" spans="17:20" ht="15">
      <c r="Q307" s="170"/>
      <c r="R307" s="170"/>
      <c r="S307" s="180"/>
      <c r="T307" s="186"/>
    </row>
    <row r="308" spans="17:20" ht="15">
      <c r="Q308" s="170"/>
      <c r="R308" s="170"/>
      <c r="S308" s="180"/>
      <c r="T308" s="186"/>
    </row>
    <row r="309" spans="17:20" ht="15">
      <c r="Q309" s="170"/>
      <c r="R309" s="170"/>
      <c r="S309" s="180"/>
      <c r="T309" s="186"/>
    </row>
    <row r="310" spans="17:20" ht="15">
      <c r="Q310" s="170"/>
      <c r="R310" s="170"/>
      <c r="S310" s="180"/>
      <c r="T310" s="186"/>
    </row>
    <row r="311" spans="17:20" ht="15">
      <c r="Q311" s="170"/>
      <c r="R311" s="170"/>
      <c r="S311" s="180"/>
      <c r="T311" s="186"/>
    </row>
    <row r="312" spans="17:20" ht="28.5" customHeight="1">
      <c r="Q312" s="170"/>
      <c r="R312" s="170"/>
      <c r="S312" s="180"/>
      <c r="T312" s="186"/>
    </row>
    <row r="313" spans="17:20" ht="15">
      <c r="Q313" s="170"/>
      <c r="R313" s="170"/>
      <c r="S313" s="180"/>
      <c r="T313" s="186"/>
    </row>
    <row r="314" spans="17:20" ht="47.25" customHeight="1">
      <c r="Q314" s="170"/>
      <c r="R314" s="170"/>
      <c r="S314" s="180"/>
      <c r="T314" s="186"/>
    </row>
    <row r="315" spans="17:20" ht="47.25" customHeight="1">
      <c r="Q315" s="170"/>
      <c r="R315" s="170"/>
      <c r="S315" s="180"/>
      <c r="T315" s="186"/>
    </row>
    <row r="316" spans="17:20" ht="15">
      <c r="Q316" s="170"/>
      <c r="R316" s="170"/>
      <c r="S316" s="180"/>
      <c r="T316" s="186"/>
    </row>
    <row r="317" spans="17:20" ht="47.25" customHeight="1">
      <c r="Q317" s="170"/>
      <c r="R317" s="170"/>
      <c r="S317" s="180"/>
      <c r="T317" s="186"/>
    </row>
    <row r="318" spans="17:20" ht="15">
      <c r="Q318" s="170"/>
      <c r="R318" s="170"/>
      <c r="S318" s="180"/>
      <c r="T318" s="186"/>
    </row>
    <row r="319" spans="17:20" ht="47.25" customHeight="1">
      <c r="Q319" s="170"/>
      <c r="R319" s="170"/>
      <c r="S319" s="180"/>
      <c r="T319" s="186"/>
    </row>
    <row r="320" spans="17:20" ht="15">
      <c r="Q320" s="170"/>
      <c r="R320" s="170"/>
      <c r="S320" s="180"/>
      <c r="T320" s="186"/>
    </row>
    <row r="321" spans="17:20" ht="15">
      <c r="Q321" s="170"/>
      <c r="R321" s="170"/>
      <c r="S321" s="180"/>
      <c r="T321" s="186"/>
    </row>
    <row r="322" spans="17:20" ht="15">
      <c r="Q322" s="170"/>
      <c r="R322" s="170"/>
      <c r="S322" s="180"/>
      <c r="T322" s="186"/>
    </row>
    <row r="323" spans="17:20" ht="15">
      <c r="Q323" s="170"/>
      <c r="R323" s="170"/>
      <c r="S323" s="180"/>
      <c r="T323" s="186"/>
    </row>
    <row r="324" spans="17:20" ht="15">
      <c r="Q324" s="170"/>
      <c r="R324" s="170"/>
      <c r="S324" s="180"/>
      <c r="T324" s="186"/>
    </row>
    <row r="325" spans="17:20" ht="15">
      <c r="Q325" s="170"/>
      <c r="R325" s="170"/>
      <c r="S325" s="180"/>
      <c r="T325" s="186"/>
    </row>
    <row r="326" spans="17:20" ht="15">
      <c r="Q326" s="170"/>
      <c r="R326" s="170"/>
      <c r="S326" s="180"/>
      <c r="T326" s="186"/>
    </row>
    <row r="327" spans="17:20" ht="15">
      <c r="Q327" s="170"/>
      <c r="R327" s="170"/>
      <c r="S327" s="180"/>
      <c r="T327" s="186"/>
    </row>
    <row r="328" spans="17:20" ht="15">
      <c r="Q328" s="170"/>
      <c r="R328" s="170"/>
      <c r="S328" s="180"/>
      <c r="T328" s="186"/>
    </row>
    <row r="329" spans="17:20" ht="15">
      <c r="Q329" s="170"/>
      <c r="R329" s="170"/>
      <c r="S329" s="180"/>
      <c r="T329" s="186"/>
    </row>
    <row r="330" spans="17:20" ht="15">
      <c r="Q330" s="170"/>
      <c r="R330" s="170"/>
      <c r="S330" s="180"/>
      <c r="T330" s="186"/>
    </row>
    <row r="331" spans="17:20" ht="15">
      <c r="Q331" s="170"/>
      <c r="R331" s="170"/>
      <c r="S331" s="180"/>
      <c r="T331" s="186"/>
    </row>
    <row r="332" spans="17:20" ht="15">
      <c r="Q332" s="170"/>
      <c r="R332" s="170"/>
      <c r="S332" s="180"/>
      <c r="T332" s="186"/>
    </row>
    <row r="333" spans="17:20" ht="15">
      <c r="Q333" s="170"/>
      <c r="R333" s="170"/>
      <c r="S333" s="180"/>
      <c r="T333" s="186"/>
    </row>
    <row r="334" spans="17:20" ht="15">
      <c r="Q334" s="170"/>
      <c r="R334" s="170"/>
      <c r="S334" s="186"/>
      <c r="T334" s="186"/>
    </row>
    <row r="335" spans="17:20" ht="15">
      <c r="Q335" s="170"/>
      <c r="R335" s="170"/>
      <c r="S335" s="180"/>
      <c r="T335" s="186"/>
    </row>
    <row r="336" spans="17:20" ht="16.5" customHeight="1">
      <c r="Q336" s="170"/>
      <c r="R336" s="170"/>
      <c r="S336" s="180"/>
      <c r="T336" s="186"/>
    </row>
    <row r="337" spans="17:20" ht="16.5" customHeight="1">
      <c r="Q337" s="170"/>
      <c r="R337" s="170"/>
      <c r="S337" s="180"/>
      <c r="T337" s="186"/>
    </row>
    <row r="338" spans="17:20" ht="15">
      <c r="Q338" s="170"/>
      <c r="R338" s="170"/>
      <c r="S338" s="180"/>
      <c r="T338" s="186"/>
    </row>
    <row r="339" spans="17:20" ht="15">
      <c r="Q339" s="170"/>
      <c r="R339" s="170"/>
      <c r="S339" s="180"/>
      <c r="T339" s="186"/>
    </row>
    <row r="340" spans="17:20" ht="15">
      <c r="Q340" s="170"/>
      <c r="R340" s="170"/>
      <c r="S340" s="180"/>
      <c r="T340" s="186"/>
    </row>
    <row r="341" spans="17:21" ht="15">
      <c r="Q341" s="170"/>
      <c r="R341" s="170"/>
      <c r="S341" s="180"/>
      <c r="T341" s="186"/>
      <c r="U341" s="30"/>
    </row>
    <row r="342" spans="17:21" ht="15">
      <c r="Q342" s="170"/>
      <c r="R342" s="170"/>
      <c r="S342" s="186"/>
      <c r="T342" s="186"/>
      <c r="U342" s="30"/>
    </row>
    <row r="343" spans="17:20" ht="15">
      <c r="Q343" s="170"/>
      <c r="R343" s="170"/>
      <c r="S343" s="180"/>
      <c r="T343" s="186"/>
    </row>
    <row r="344" spans="17:20" ht="15">
      <c r="Q344" s="170"/>
      <c r="R344" s="170"/>
      <c r="S344" s="180"/>
      <c r="T344" s="186"/>
    </row>
    <row r="345" spans="17:20" ht="15">
      <c r="Q345" s="170"/>
      <c r="R345" s="170"/>
      <c r="S345" s="180"/>
      <c r="T345" s="186"/>
    </row>
    <row r="346" spans="17:20" ht="15">
      <c r="Q346" s="170"/>
      <c r="R346" s="170"/>
      <c r="S346" s="180"/>
      <c r="T346" s="186"/>
    </row>
    <row r="347" spans="17:20" ht="15">
      <c r="Q347" s="170"/>
      <c r="R347" s="170"/>
      <c r="S347" s="180"/>
      <c r="T347" s="186"/>
    </row>
    <row r="348" spans="17:20" ht="15">
      <c r="Q348" s="170"/>
      <c r="R348" s="170"/>
      <c r="S348" s="180"/>
      <c r="T348" s="186"/>
    </row>
    <row r="349" spans="17:20" ht="15">
      <c r="Q349" s="170"/>
      <c r="R349" s="170"/>
      <c r="S349" s="180"/>
      <c r="T349" s="186"/>
    </row>
    <row r="350" spans="17:20" ht="15">
      <c r="Q350" s="170"/>
      <c r="R350" s="170"/>
      <c r="S350" s="180"/>
      <c r="T350" s="186"/>
    </row>
    <row r="351" spans="17:20" ht="15">
      <c r="Q351" s="170"/>
      <c r="R351" s="170"/>
      <c r="S351" s="180"/>
      <c r="T351" s="186"/>
    </row>
    <row r="352" spans="17:20" ht="15">
      <c r="Q352" s="170"/>
      <c r="R352" s="170"/>
      <c r="S352" s="180"/>
      <c r="T352" s="186"/>
    </row>
    <row r="353" spans="17:20" ht="34.5" customHeight="1">
      <c r="Q353" s="170"/>
      <c r="R353" s="170"/>
      <c r="S353" s="180"/>
      <c r="T353" s="186"/>
    </row>
    <row r="354" spans="17:20" ht="34.5" customHeight="1">
      <c r="Q354" s="170"/>
      <c r="R354" s="170"/>
      <c r="S354" s="180"/>
      <c r="T354" s="186"/>
    </row>
    <row r="355" spans="17:20" ht="15">
      <c r="Q355" s="170"/>
      <c r="R355" s="170"/>
      <c r="S355" s="186"/>
      <c r="T355" s="186"/>
    </row>
    <row r="356" spans="17:20" ht="15">
      <c r="Q356" s="170"/>
      <c r="R356" s="170"/>
      <c r="S356" s="180"/>
      <c r="T356" s="186"/>
    </row>
    <row r="357" spans="17:18" ht="15">
      <c r="Q357" s="170"/>
      <c r="R357" s="170"/>
    </row>
    <row r="358" spans="17:18" ht="15">
      <c r="Q358" s="170"/>
      <c r="R358" s="170"/>
    </row>
    <row r="359" spans="17:18" ht="15">
      <c r="Q359" s="170"/>
      <c r="R359" s="170"/>
    </row>
    <row r="360" spans="17:20" ht="15">
      <c r="Q360" s="170"/>
      <c r="R360" s="170"/>
      <c r="T360" s="30"/>
    </row>
    <row r="361" spans="17:18" ht="15">
      <c r="Q361" s="170"/>
      <c r="R361" s="170"/>
    </row>
    <row r="362" spans="17:18" ht="15">
      <c r="Q362" s="170"/>
      <c r="R362" s="170"/>
    </row>
    <row r="363" spans="17:18" ht="15">
      <c r="Q363" s="179"/>
      <c r="R363" s="179"/>
    </row>
    <row r="364" spans="17:18" ht="15">
      <c r="Q364" s="179"/>
      <c r="R364" s="179"/>
    </row>
    <row r="365" spans="17:18" ht="15">
      <c r="Q365" s="169"/>
      <c r="R365" s="169"/>
    </row>
    <row r="366" spans="17:18" ht="44.25" customHeight="1">
      <c r="Q366" s="169"/>
      <c r="R366" s="169"/>
    </row>
    <row r="367" spans="17:20" ht="15">
      <c r="Q367" s="198"/>
      <c r="R367" s="198"/>
      <c r="S367" s="9"/>
      <c r="T367" s="9"/>
    </row>
    <row r="368" spans="17:18" ht="15">
      <c r="Q368" s="170"/>
      <c r="R368" s="170"/>
    </row>
    <row r="369" spans="17:18" ht="15">
      <c r="Q369" s="170"/>
      <c r="R369" s="170"/>
    </row>
    <row r="370" spans="17:18" ht="15">
      <c r="Q370" s="170"/>
      <c r="R370" s="170"/>
    </row>
    <row r="371" spans="17:18" ht="15">
      <c r="Q371" s="170"/>
      <c r="R371" s="170"/>
    </row>
    <row r="372" spans="17:18" ht="15">
      <c r="Q372" s="170"/>
      <c r="R372" s="170"/>
    </row>
    <row r="373" spans="17:18" ht="15">
      <c r="Q373" s="170"/>
      <c r="R373" s="170"/>
    </row>
    <row r="374" spans="17:18" ht="15">
      <c r="Q374" s="170"/>
      <c r="R374" s="170"/>
    </row>
    <row r="375" spans="17:18" ht="15">
      <c r="Q375" s="170"/>
      <c r="R375" s="170"/>
    </row>
    <row r="376" spans="17:18" ht="15">
      <c r="Q376" s="170"/>
      <c r="R376" s="170"/>
    </row>
    <row r="377" spans="17:18" ht="15">
      <c r="Q377" s="170"/>
      <c r="R377" s="170"/>
    </row>
    <row r="378" spans="17:18" ht="15">
      <c r="Q378" s="170"/>
      <c r="R378" s="170"/>
    </row>
    <row r="379" spans="17:18" ht="15">
      <c r="Q379" s="170"/>
      <c r="R379" s="170"/>
    </row>
    <row r="380" spans="17:18" ht="15">
      <c r="Q380" s="170"/>
      <c r="R380" s="170"/>
    </row>
    <row r="381" spans="17:18" ht="15">
      <c r="Q381" s="170"/>
      <c r="R381" s="170"/>
    </row>
    <row r="382" spans="17:18" ht="15">
      <c r="Q382" s="170"/>
      <c r="R382" s="170"/>
    </row>
    <row r="383" spans="17:18" ht="15">
      <c r="Q383" s="170"/>
      <c r="R383" s="170"/>
    </row>
    <row r="384" spans="17:18" ht="15">
      <c r="Q384" s="170"/>
      <c r="R384" s="170"/>
    </row>
    <row r="385" spans="17:18" ht="15">
      <c r="Q385" s="170"/>
      <c r="R385" s="170"/>
    </row>
    <row r="386" spans="17:18" ht="15">
      <c r="Q386" s="170"/>
      <c r="R386" s="170"/>
    </row>
    <row r="387" spans="17:18" ht="15">
      <c r="Q387" s="170"/>
      <c r="R387" s="170"/>
    </row>
    <row r="388" spans="17:18" ht="15">
      <c r="Q388" s="170"/>
      <c r="R388" s="170"/>
    </row>
    <row r="389" spans="17:18" ht="15">
      <c r="Q389" s="170"/>
      <c r="R389" s="170"/>
    </row>
    <row r="390" spans="17:18" ht="15">
      <c r="Q390" s="170"/>
      <c r="R390" s="170"/>
    </row>
    <row r="391" spans="17:18" ht="15">
      <c r="Q391" s="170"/>
      <c r="R391" s="170"/>
    </row>
    <row r="392" spans="17:18" ht="15">
      <c r="Q392" s="170"/>
      <c r="R392" s="170"/>
    </row>
    <row r="394" spans="17:18" ht="15">
      <c r="Q394" s="169"/>
      <c r="R394" s="169"/>
    </row>
  </sheetData>
  <sheetProtection/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4"/>
  <sheetViews>
    <sheetView zoomScale="87" zoomScaleNormal="87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" sqref="O3"/>
    </sheetView>
  </sheetViews>
  <sheetFormatPr defaultColWidth="9.140625" defaultRowHeight="12.75" outlineLevelRow="1"/>
  <cols>
    <col min="1" max="1" width="13.28125" style="22" customWidth="1"/>
    <col min="2" max="2" width="41.00390625" style="178" customWidth="1"/>
    <col min="3" max="3" width="13.8515625" style="22" customWidth="1"/>
    <col min="4" max="4" width="10.00390625" style="22" customWidth="1"/>
    <col min="5" max="5" width="11.421875" style="22" customWidth="1"/>
    <col min="6" max="6" width="9.8515625" style="22" customWidth="1"/>
    <col min="7" max="7" width="11.8515625" style="22" customWidth="1"/>
    <col min="8" max="8" width="9.00390625" style="22" customWidth="1"/>
    <col min="9" max="9" width="10.00390625" style="22" customWidth="1"/>
    <col min="10" max="10" width="10.7109375" style="22" customWidth="1"/>
    <col min="11" max="11" width="8.8515625" style="22" customWidth="1"/>
    <col min="12" max="12" width="9.7109375" style="22" customWidth="1"/>
    <col min="13" max="13" width="9.28125" style="22" customWidth="1"/>
    <col min="14" max="14" width="11.140625" style="22" customWidth="1"/>
    <col min="15" max="15" width="10.28125" style="22" customWidth="1"/>
    <col min="16" max="16" width="13.00390625" style="182" customWidth="1"/>
    <col min="17" max="17" width="12.28125" style="182" customWidth="1"/>
    <col min="18" max="18" width="12.421875" style="182" customWidth="1"/>
    <col min="19" max="19" width="8.421875" style="22" customWidth="1"/>
    <col min="20" max="20" width="12.57421875" style="22" customWidth="1"/>
    <col min="21" max="16384" width="9.140625" style="22" customWidth="1"/>
  </cols>
  <sheetData>
    <row r="1" spans="1:16" ht="15" outlineLevel="1">
      <c r="A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91" t="s">
        <v>48</v>
      </c>
      <c r="P1" s="169"/>
    </row>
    <row r="2" spans="1:16" ht="15" outlineLevel="1">
      <c r="A2" s="168"/>
      <c r="B2" s="187"/>
      <c r="C2" s="30"/>
      <c r="D2" s="190"/>
      <c r="E2" s="190"/>
      <c r="F2" s="190"/>
      <c r="G2" s="30"/>
      <c r="H2" s="30"/>
      <c r="I2" s="30"/>
      <c r="J2" s="30"/>
      <c r="K2" s="30"/>
      <c r="L2" s="30"/>
      <c r="M2" s="30"/>
      <c r="N2" s="30"/>
      <c r="O2" s="191" t="s">
        <v>328</v>
      </c>
      <c r="P2" s="169"/>
    </row>
    <row r="3" spans="1:16" ht="15" outlineLevel="1">
      <c r="A3" s="168"/>
      <c r="B3" s="187"/>
      <c r="C3" s="30"/>
      <c r="D3" s="192"/>
      <c r="E3" s="192"/>
      <c r="F3" s="192"/>
      <c r="G3" s="30"/>
      <c r="H3" s="30"/>
      <c r="I3" s="30"/>
      <c r="J3" s="30"/>
      <c r="K3" s="30"/>
      <c r="L3" s="30"/>
      <c r="M3" s="30"/>
      <c r="N3" s="30"/>
      <c r="O3" s="191" t="s">
        <v>708</v>
      </c>
      <c r="P3" s="169"/>
    </row>
    <row r="4" spans="1:16" ht="15" outlineLevel="1">
      <c r="A4" s="193"/>
      <c r="B4" s="71"/>
      <c r="C4" s="30"/>
      <c r="D4" s="192"/>
      <c r="E4" s="192"/>
      <c r="F4" s="192"/>
      <c r="G4" s="30"/>
      <c r="H4" s="30"/>
      <c r="I4" s="30"/>
      <c r="J4" s="30"/>
      <c r="K4" s="30"/>
      <c r="L4" s="30"/>
      <c r="M4" s="30"/>
      <c r="N4" s="30"/>
      <c r="O4" s="30"/>
      <c r="P4" s="169"/>
    </row>
    <row r="5" spans="1:16" ht="51.75" customHeight="1" outlineLevel="1" thickBot="1">
      <c r="A5" s="280" t="s">
        <v>440</v>
      </c>
      <c r="B5" s="280"/>
      <c r="C5" s="28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69"/>
    </row>
    <row r="6" spans="1:16" ht="135.75" thickBot="1">
      <c r="A6" s="105" t="s">
        <v>9</v>
      </c>
      <c r="B6" s="106" t="s">
        <v>115</v>
      </c>
      <c r="C6" s="38" t="s">
        <v>426</v>
      </c>
      <c r="D6" s="107" t="s">
        <v>427</v>
      </c>
      <c r="E6" s="37" t="s">
        <v>428</v>
      </c>
      <c r="F6" s="38" t="s">
        <v>429</v>
      </c>
      <c r="G6" s="108" t="s">
        <v>430</v>
      </c>
      <c r="H6" s="108" t="s">
        <v>431</v>
      </c>
      <c r="I6" s="108" t="s">
        <v>432</v>
      </c>
      <c r="J6" s="108" t="s">
        <v>433</v>
      </c>
      <c r="K6" s="108" t="s">
        <v>434</v>
      </c>
      <c r="L6" s="108" t="s">
        <v>435</v>
      </c>
      <c r="M6" s="108" t="s">
        <v>436</v>
      </c>
      <c r="N6" s="109" t="s">
        <v>437</v>
      </c>
      <c r="O6" s="203" t="s">
        <v>404</v>
      </c>
      <c r="P6" s="110" t="s">
        <v>438</v>
      </c>
    </row>
    <row r="7" spans="1:20" ht="15.75" thickBot="1">
      <c r="A7" s="111" t="s">
        <v>49</v>
      </c>
      <c r="B7" s="41" t="s">
        <v>50</v>
      </c>
      <c r="C7" s="43">
        <f aca="true" t="shared" si="0" ref="C7:O7">C8+C9+C10+C12+C13+C15</f>
        <v>7173609</v>
      </c>
      <c r="D7" s="43">
        <f t="shared" si="0"/>
        <v>0</v>
      </c>
      <c r="E7" s="43">
        <f t="shared" si="0"/>
        <v>0</v>
      </c>
      <c r="F7" s="43">
        <f t="shared" si="0"/>
        <v>0</v>
      </c>
      <c r="G7" s="43">
        <f t="shared" si="0"/>
        <v>140219</v>
      </c>
      <c r="H7" s="43">
        <f t="shared" si="0"/>
        <v>81651</v>
      </c>
      <c r="I7" s="43">
        <f t="shared" si="0"/>
        <v>125052</v>
      </c>
      <c r="J7" s="43">
        <f t="shared" si="0"/>
        <v>158004</v>
      </c>
      <c r="K7" s="43">
        <f t="shared" si="0"/>
        <v>120942</v>
      </c>
      <c r="L7" s="43">
        <f t="shared" si="0"/>
        <v>51548</v>
      </c>
      <c r="M7" s="43">
        <f t="shared" si="0"/>
        <v>72420</v>
      </c>
      <c r="N7" s="43">
        <f t="shared" si="0"/>
        <v>105118</v>
      </c>
      <c r="O7" s="43">
        <f t="shared" si="0"/>
        <v>0</v>
      </c>
      <c r="P7" s="44">
        <f aca="true" t="shared" si="1" ref="P7:P68">SUM(C7:O7)</f>
        <v>8028563</v>
      </c>
      <c r="Q7" s="198"/>
      <c r="R7" s="198"/>
      <c r="S7" s="9"/>
      <c r="T7" s="9"/>
    </row>
    <row r="8" spans="1:20" ht="29.25">
      <c r="A8" s="112" t="s">
        <v>164</v>
      </c>
      <c r="B8" s="113" t="s">
        <v>165</v>
      </c>
      <c r="C8" s="114">
        <f>5991250+44182+12652</f>
        <v>6048084</v>
      </c>
      <c r="D8" s="47"/>
      <c r="E8" s="47"/>
      <c r="F8" s="26"/>
      <c r="G8" s="32">
        <v>140219</v>
      </c>
      <c r="H8" s="115">
        <v>81651</v>
      </c>
      <c r="I8" s="32">
        <v>122472</v>
      </c>
      <c r="J8" s="115">
        <v>152453</v>
      </c>
      <c r="K8" s="32">
        <v>120942</v>
      </c>
      <c r="L8" s="32">
        <v>51548</v>
      </c>
      <c r="M8" s="32">
        <v>72420</v>
      </c>
      <c r="N8" s="32">
        <v>105118</v>
      </c>
      <c r="O8" s="116"/>
      <c r="P8" s="117">
        <f t="shared" si="1"/>
        <v>6894907</v>
      </c>
      <c r="Q8" s="170"/>
      <c r="R8" s="170"/>
      <c r="S8" s="186"/>
      <c r="T8" s="186"/>
    </row>
    <row r="9" spans="1:20" ht="29.25">
      <c r="A9" s="118" t="s">
        <v>307</v>
      </c>
      <c r="B9" s="113" t="s">
        <v>361</v>
      </c>
      <c r="C9" s="114">
        <f>11344+123012</f>
        <v>134356</v>
      </c>
      <c r="D9" s="47"/>
      <c r="E9" s="25"/>
      <c r="F9" s="25"/>
      <c r="G9" s="80"/>
      <c r="H9" s="80"/>
      <c r="I9" s="80"/>
      <c r="J9" s="116"/>
      <c r="K9" s="114"/>
      <c r="L9" s="114"/>
      <c r="M9" s="31"/>
      <c r="N9" s="116"/>
      <c r="O9" s="85"/>
      <c r="P9" s="120">
        <f t="shared" si="1"/>
        <v>134356</v>
      </c>
      <c r="Q9" s="170"/>
      <c r="R9" s="170"/>
      <c r="S9" s="180"/>
      <c r="T9" s="186"/>
    </row>
    <row r="10" spans="1:20" ht="15">
      <c r="A10" s="119" t="s">
        <v>51</v>
      </c>
      <c r="B10" s="82" t="s">
        <v>52</v>
      </c>
      <c r="C10" s="85">
        <f>SUM(C11:C11)</f>
        <v>257139</v>
      </c>
      <c r="D10" s="85">
        <f>SUM(D11:D11)</f>
        <v>0</v>
      </c>
      <c r="E10" s="85">
        <f>SUM(E11:E11)</f>
        <v>0</v>
      </c>
      <c r="F10" s="85">
        <f>SUM(F11:F11)</f>
        <v>0</v>
      </c>
      <c r="G10" s="31">
        <f aca="true" t="shared" si="2" ref="G10:O10">SUM(G11:G11)</f>
        <v>0</v>
      </c>
      <c r="H10" s="31">
        <f t="shared" si="2"/>
        <v>0</v>
      </c>
      <c r="I10" s="31">
        <f t="shared" si="2"/>
        <v>0</v>
      </c>
      <c r="J10" s="85">
        <f t="shared" si="2"/>
        <v>0</v>
      </c>
      <c r="K10" s="85">
        <f t="shared" si="2"/>
        <v>0</v>
      </c>
      <c r="L10" s="85">
        <f t="shared" si="2"/>
        <v>0</v>
      </c>
      <c r="M10" s="85">
        <f t="shared" si="2"/>
        <v>0</v>
      </c>
      <c r="N10" s="85">
        <f t="shared" si="2"/>
        <v>0</v>
      </c>
      <c r="O10" s="85">
        <f t="shared" si="2"/>
        <v>0</v>
      </c>
      <c r="P10" s="120">
        <f t="shared" si="1"/>
        <v>257139</v>
      </c>
      <c r="Q10" s="170"/>
      <c r="R10" s="170"/>
      <c r="S10" s="180"/>
      <c r="T10" s="186"/>
    </row>
    <row r="11" spans="1:20" ht="30">
      <c r="A11" s="49" t="s">
        <v>53</v>
      </c>
      <c r="B11" s="24" t="s">
        <v>441</v>
      </c>
      <c r="C11" s="50">
        <v>257139</v>
      </c>
      <c r="D11" s="19"/>
      <c r="E11" s="50"/>
      <c r="F11" s="50"/>
      <c r="G11" s="19"/>
      <c r="H11" s="19"/>
      <c r="I11" s="19"/>
      <c r="J11" s="19"/>
      <c r="K11" s="19"/>
      <c r="L11" s="19"/>
      <c r="M11" s="19"/>
      <c r="N11" s="19"/>
      <c r="O11" s="50"/>
      <c r="P11" s="120">
        <f t="shared" si="1"/>
        <v>257139</v>
      </c>
      <c r="Q11" s="170"/>
      <c r="R11" s="170"/>
      <c r="S11" s="180"/>
      <c r="T11" s="186"/>
    </row>
    <row r="12" spans="1:20" ht="29.25">
      <c r="A12" s="231" t="s">
        <v>166</v>
      </c>
      <c r="B12" s="121" t="s">
        <v>167</v>
      </c>
      <c r="C12" s="50">
        <f>8000+22092+2742</f>
        <v>32834</v>
      </c>
      <c r="D12" s="19"/>
      <c r="E12" s="50"/>
      <c r="F12" s="50"/>
      <c r="G12" s="19"/>
      <c r="H12" s="19"/>
      <c r="I12" s="19"/>
      <c r="J12" s="50"/>
      <c r="K12" s="50"/>
      <c r="L12" s="50"/>
      <c r="M12" s="50"/>
      <c r="N12" s="50"/>
      <c r="O12" s="50"/>
      <c r="P12" s="120">
        <f t="shared" si="1"/>
        <v>32834</v>
      </c>
      <c r="Q12" s="170"/>
      <c r="R12" s="170"/>
      <c r="S12" s="180"/>
      <c r="T12" s="186"/>
    </row>
    <row r="13" spans="1:20" ht="29.25">
      <c r="A13" s="119" t="s">
        <v>54</v>
      </c>
      <c r="B13" s="121" t="s">
        <v>55</v>
      </c>
      <c r="C13" s="85">
        <f aca="true" t="shared" si="3" ref="C13:O13">SUM(C14:C14)</f>
        <v>690000</v>
      </c>
      <c r="D13" s="85">
        <f t="shared" si="3"/>
        <v>0</v>
      </c>
      <c r="E13" s="85">
        <f t="shared" si="3"/>
        <v>0</v>
      </c>
      <c r="F13" s="85">
        <f t="shared" si="3"/>
        <v>0</v>
      </c>
      <c r="G13" s="85">
        <f t="shared" si="3"/>
        <v>0</v>
      </c>
      <c r="H13" s="85">
        <f t="shared" si="3"/>
        <v>0</v>
      </c>
      <c r="I13" s="85">
        <f t="shared" si="3"/>
        <v>0</v>
      </c>
      <c r="J13" s="85">
        <f t="shared" si="3"/>
        <v>0</v>
      </c>
      <c r="K13" s="85">
        <f t="shared" si="3"/>
        <v>0</v>
      </c>
      <c r="L13" s="85">
        <f t="shared" si="3"/>
        <v>0</v>
      </c>
      <c r="M13" s="85">
        <f t="shared" si="3"/>
        <v>0</v>
      </c>
      <c r="N13" s="85">
        <f t="shared" si="3"/>
        <v>0</v>
      </c>
      <c r="O13" s="85">
        <f t="shared" si="3"/>
        <v>0</v>
      </c>
      <c r="P13" s="120">
        <f t="shared" si="1"/>
        <v>690000</v>
      </c>
      <c r="Q13" s="170"/>
      <c r="R13" s="170"/>
      <c r="S13" s="180"/>
      <c r="T13" s="186"/>
    </row>
    <row r="14" spans="1:20" ht="15">
      <c r="A14" s="122" t="s">
        <v>265</v>
      </c>
      <c r="B14" s="24" t="s">
        <v>442</v>
      </c>
      <c r="C14" s="50">
        <v>690000</v>
      </c>
      <c r="D14" s="19"/>
      <c r="E14" s="50"/>
      <c r="F14" s="50"/>
      <c r="G14" s="19"/>
      <c r="H14" s="19"/>
      <c r="I14" s="19"/>
      <c r="J14" s="19"/>
      <c r="K14" s="19"/>
      <c r="L14" s="19"/>
      <c r="M14" s="19"/>
      <c r="N14" s="50"/>
      <c r="O14" s="50"/>
      <c r="P14" s="120">
        <f t="shared" si="1"/>
        <v>690000</v>
      </c>
      <c r="Q14" s="170"/>
      <c r="R14" s="170"/>
      <c r="S14" s="180"/>
      <c r="T14" s="186"/>
    </row>
    <row r="15" spans="1:20" ht="15.75" thickBot="1">
      <c r="A15" s="124" t="s">
        <v>56</v>
      </c>
      <c r="B15" s="125" t="s">
        <v>168</v>
      </c>
      <c r="C15" s="127">
        <f>1483845-1269671-202978</f>
        <v>11196</v>
      </c>
      <c r="D15" s="128"/>
      <c r="E15" s="126"/>
      <c r="F15" s="126"/>
      <c r="G15" s="129"/>
      <c r="H15" s="128"/>
      <c r="I15" s="128">
        <v>2580</v>
      </c>
      <c r="J15" s="128">
        <v>5551</v>
      </c>
      <c r="K15" s="128"/>
      <c r="L15" s="128"/>
      <c r="M15" s="128"/>
      <c r="N15" s="129"/>
      <c r="O15" s="170"/>
      <c r="P15" s="130">
        <f t="shared" si="1"/>
        <v>19327</v>
      </c>
      <c r="Q15" s="170"/>
      <c r="R15" s="170"/>
      <c r="S15" s="180"/>
      <c r="T15" s="186"/>
    </row>
    <row r="16" spans="1:20" ht="15.75" thickBot="1">
      <c r="A16" s="74" t="s">
        <v>57</v>
      </c>
      <c r="B16" s="41" t="s">
        <v>58</v>
      </c>
      <c r="C16" s="43">
        <f aca="true" t="shared" si="4" ref="C16:O16">SUM(C17:C18,C20:C21)</f>
        <v>1482990</v>
      </c>
      <c r="D16" s="43">
        <f t="shared" si="4"/>
        <v>0</v>
      </c>
      <c r="E16" s="43">
        <f t="shared" si="4"/>
        <v>0</v>
      </c>
      <c r="F16" s="43">
        <f t="shared" si="4"/>
        <v>0</v>
      </c>
      <c r="G16" s="43">
        <f t="shared" si="4"/>
        <v>4500</v>
      </c>
      <c r="H16" s="43">
        <f t="shared" si="4"/>
        <v>0</v>
      </c>
      <c r="I16" s="43">
        <f t="shared" si="4"/>
        <v>1512</v>
      </c>
      <c r="J16" s="43">
        <f t="shared" si="4"/>
        <v>4200</v>
      </c>
      <c r="K16" s="43">
        <f t="shared" si="4"/>
        <v>0</v>
      </c>
      <c r="L16" s="43">
        <f t="shared" si="4"/>
        <v>0</v>
      </c>
      <c r="M16" s="43">
        <f t="shared" si="4"/>
        <v>0</v>
      </c>
      <c r="N16" s="43">
        <f t="shared" si="4"/>
        <v>500</v>
      </c>
      <c r="O16" s="43">
        <f t="shared" si="4"/>
        <v>0</v>
      </c>
      <c r="P16" s="44">
        <f>SUM(C16:O16)</f>
        <v>1493702</v>
      </c>
      <c r="Q16" s="170"/>
      <c r="R16" s="170"/>
      <c r="S16" s="180"/>
      <c r="T16" s="186"/>
    </row>
    <row r="17" spans="1:20" ht="15">
      <c r="A17" s="112" t="s">
        <v>169</v>
      </c>
      <c r="B17" s="113" t="s">
        <v>18</v>
      </c>
      <c r="C17" s="131">
        <f>1116835+44775</f>
        <v>1161610</v>
      </c>
      <c r="D17" s="47"/>
      <c r="E17" s="25"/>
      <c r="F17" s="25"/>
      <c r="G17" s="47"/>
      <c r="H17" s="47"/>
      <c r="I17" s="47"/>
      <c r="J17" s="47"/>
      <c r="K17" s="47"/>
      <c r="L17" s="47"/>
      <c r="M17" s="47"/>
      <c r="N17" s="25"/>
      <c r="O17" s="69"/>
      <c r="P17" s="117">
        <f t="shared" si="1"/>
        <v>1161610</v>
      </c>
      <c r="Q17" s="170"/>
      <c r="R17" s="170"/>
      <c r="S17" s="186"/>
      <c r="T17" s="186"/>
    </row>
    <row r="18" spans="1:20" ht="29.25">
      <c r="A18" s="119" t="s">
        <v>235</v>
      </c>
      <c r="B18" s="132" t="s">
        <v>236</v>
      </c>
      <c r="C18" s="85">
        <f aca="true" t="shared" si="5" ref="C18:O18">SUM(C19:C19)</f>
        <v>204130</v>
      </c>
      <c r="D18" s="85">
        <f t="shared" si="5"/>
        <v>0</v>
      </c>
      <c r="E18" s="85"/>
      <c r="F18" s="85">
        <f t="shared" si="5"/>
        <v>0</v>
      </c>
      <c r="G18" s="85">
        <f t="shared" si="5"/>
        <v>0</v>
      </c>
      <c r="H18" s="85">
        <f t="shared" si="5"/>
        <v>0</v>
      </c>
      <c r="I18" s="85">
        <f t="shared" si="5"/>
        <v>0</v>
      </c>
      <c r="J18" s="85">
        <f t="shared" si="5"/>
        <v>0</v>
      </c>
      <c r="K18" s="85">
        <f t="shared" si="5"/>
        <v>0</v>
      </c>
      <c r="L18" s="85">
        <f t="shared" si="5"/>
        <v>0</v>
      </c>
      <c r="M18" s="85">
        <f t="shared" si="5"/>
        <v>0</v>
      </c>
      <c r="N18" s="85">
        <f t="shared" si="5"/>
        <v>0</v>
      </c>
      <c r="O18" s="85">
        <f t="shared" si="5"/>
        <v>0</v>
      </c>
      <c r="P18" s="120">
        <f t="shared" si="1"/>
        <v>204130</v>
      </c>
      <c r="Q18" s="170"/>
      <c r="R18" s="170"/>
      <c r="S18" s="180"/>
      <c r="T18" s="186"/>
    </row>
    <row r="19" spans="1:20" ht="30">
      <c r="A19" s="49" t="s">
        <v>266</v>
      </c>
      <c r="B19" s="133" t="s">
        <v>358</v>
      </c>
      <c r="C19" s="123">
        <f>200000+4130</f>
        <v>204130</v>
      </c>
      <c r="D19" s="19"/>
      <c r="E19" s="50"/>
      <c r="F19" s="50"/>
      <c r="G19" s="19"/>
      <c r="H19" s="19"/>
      <c r="I19" s="19"/>
      <c r="J19" s="19"/>
      <c r="K19" s="19"/>
      <c r="L19" s="19"/>
      <c r="M19" s="19"/>
      <c r="N19" s="50"/>
      <c r="O19" s="50"/>
      <c r="P19" s="120">
        <f t="shared" si="1"/>
        <v>204130</v>
      </c>
      <c r="Q19" s="170"/>
      <c r="R19" s="170"/>
      <c r="S19" s="180"/>
      <c r="T19" s="186"/>
    </row>
    <row r="20" spans="1:20" ht="29.25">
      <c r="A20" s="119" t="s">
        <v>59</v>
      </c>
      <c r="B20" s="82" t="s">
        <v>703</v>
      </c>
      <c r="C20" s="31">
        <v>30130</v>
      </c>
      <c r="D20" s="31"/>
      <c r="E20" s="85"/>
      <c r="F20" s="85"/>
      <c r="G20" s="31">
        <v>4500</v>
      </c>
      <c r="H20" s="31"/>
      <c r="I20" s="31">
        <v>1512</v>
      </c>
      <c r="J20" s="31">
        <v>4200</v>
      </c>
      <c r="K20" s="31"/>
      <c r="L20" s="31"/>
      <c r="M20" s="31"/>
      <c r="N20" s="85">
        <v>500</v>
      </c>
      <c r="O20" s="85"/>
      <c r="P20" s="120">
        <f t="shared" si="1"/>
        <v>40842</v>
      </c>
      <c r="Q20" s="170"/>
      <c r="R20" s="170"/>
      <c r="S20" s="180"/>
      <c r="T20" s="186"/>
    </row>
    <row r="21" spans="1:20" ht="15.75" thickBot="1">
      <c r="A21" s="238" t="s">
        <v>288</v>
      </c>
      <c r="B21" s="134" t="s">
        <v>289</v>
      </c>
      <c r="C21" s="239">
        <v>87120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70"/>
      <c r="P21" s="130">
        <f t="shared" si="1"/>
        <v>87120</v>
      </c>
      <c r="Q21" s="170"/>
      <c r="R21" s="170"/>
      <c r="S21" s="180"/>
      <c r="T21" s="186"/>
    </row>
    <row r="22" spans="1:20" ht="27.75" customHeight="1" thickBot="1">
      <c r="A22" s="74" t="s">
        <v>1</v>
      </c>
      <c r="B22" s="41" t="s">
        <v>60</v>
      </c>
      <c r="C22" s="240">
        <f>SUM(C23,C29:C31,C56,C58,C59,C60,C61)</f>
        <v>9872105</v>
      </c>
      <c r="D22" s="240">
        <f aca="true" t="shared" si="6" ref="D22:O22">SUM(D23,D29:D31,D56,D58,D59,D60,D61)</f>
        <v>212656</v>
      </c>
      <c r="E22" s="240">
        <f t="shared" si="6"/>
        <v>0</v>
      </c>
      <c r="F22" s="240">
        <f t="shared" si="6"/>
        <v>0</v>
      </c>
      <c r="G22" s="240">
        <f t="shared" si="6"/>
        <v>198962</v>
      </c>
      <c r="H22" s="240">
        <f t="shared" si="6"/>
        <v>86600</v>
      </c>
      <c r="I22" s="240">
        <f t="shared" si="6"/>
        <v>73419</v>
      </c>
      <c r="J22" s="240">
        <f t="shared" si="6"/>
        <v>189214</v>
      </c>
      <c r="K22" s="240">
        <f t="shared" si="6"/>
        <v>34318</v>
      </c>
      <c r="L22" s="240">
        <f t="shared" si="6"/>
        <v>47236</v>
      </c>
      <c r="M22" s="240">
        <f t="shared" si="6"/>
        <v>36238</v>
      </c>
      <c r="N22" s="240">
        <f t="shared" si="6"/>
        <v>46513</v>
      </c>
      <c r="O22" s="240">
        <f t="shared" si="6"/>
        <v>361099</v>
      </c>
      <c r="P22" s="44">
        <f>SUM(C22:O22)</f>
        <v>11158360</v>
      </c>
      <c r="Q22" s="170"/>
      <c r="R22" s="170"/>
      <c r="S22" s="180"/>
      <c r="T22" s="186"/>
    </row>
    <row r="23" spans="1:20" ht="15">
      <c r="A23" s="112" t="s">
        <v>61</v>
      </c>
      <c r="B23" s="80" t="s">
        <v>62</v>
      </c>
      <c r="C23" s="114">
        <f aca="true" t="shared" si="7" ref="C23:O23">SUM(C24:C28)</f>
        <v>421194</v>
      </c>
      <c r="D23" s="114">
        <f t="shared" si="7"/>
        <v>0</v>
      </c>
      <c r="E23" s="114">
        <f t="shared" si="7"/>
        <v>0</v>
      </c>
      <c r="F23" s="114">
        <f t="shared" si="7"/>
        <v>0</v>
      </c>
      <c r="G23" s="80">
        <f t="shared" si="7"/>
        <v>0</v>
      </c>
      <c r="H23" s="114">
        <f t="shared" si="7"/>
        <v>0</v>
      </c>
      <c r="I23" s="114">
        <f t="shared" si="7"/>
        <v>2159</v>
      </c>
      <c r="J23" s="114">
        <f t="shared" si="7"/>
        <v>0</v>
      </c>
      <c r="K23" s="114">
        <f t="shared" si="7"/>
        <v>0</v>
      </c>
      <c r="L23" s="114">
        <f t="shared" si="7"/>
        <v>0</v>
      </c>
      <c r="M23" s="114">
        <f t="shared" si="7"/>
        <v>0</v>
      </c>
      <c r="N23" s="114">
        <f t="shared" si="7"/>
        <v>0</v>
      </c>
      <c r="O23" s="114">
        <f t="shared" si="7"/>
        <v>0</v>
      </c>
      <c r="P23" s="117">
        <f t="shared" si="1"/>
        <v>423353</v>
      </c>
      <c r="Q23" s="170"/>
      <c r="R23" s="170"/>
      <c r="S23" s="180"/>
      <c r="T23" s="186"/>
    </row>
    <row r="24" spans="1:20" ht="15">
      <c r="A24" s="136" t="s">
        <v>170</v>
      </c>
      <c r="B24" s="47" t="s">
        <v>171</v>
      </c>
      <c r="C24" s="131">
        <f>47420+3466+2042</f>
        <v>52928</v>
      </c>
      <c r="D24" s="47"/>
      <c r="E24" s="25"/>
      <c r="F24" s="25"/>
      <c r="G24" s="47"/>
      <c r="H24" s="47"/>
      <c r="I24" s="47">
        <v>2159</v>
      </c>
      <c r="J24" s="47"/>
      <c r="K24" s="47"/>
      <c r="L24" s="47"/>
      <c r="M24" s="47"/>
      <c r="N24" s="25"/>
      <c r="O24" s="50"/>
      <c r="P24" s="120">
        <f t="shared" si="1"/>
        <v>55087</v>
      </c>
      <c r="Q24" s="170"/>
      <c r="R24" s="170"/>
      <c r="S24" s="186"/>
      <c r="T24" s="186"/>
    </row>
    <row r="25" spans="1:20" ht="30">
      <c r="A25" s="136" t="s">
        <v>267</v>
      </c>
      <c r="B25" s="33" t="s">
        <v>308</v>
      </c>
      <c r="C25" s="25">
        <f>80000+16221-2955</f>
        <v>93266</v>
      </c>
      <c r="D25" s="47"/>
      <c r="E25" s="25"/>
      <c r="F25" s="25"/>
      <c r="G25" s="47"/>
      <c r="H25" s="47"/>
      <c r="I25" s="47"/>
      <c r="J25" s="47"/>
      <c r="K25" s="47"/>
      <c r="L25" s="47"/>
      <c r="M25" s="47"/>
      <c r="N25" s="25"/>
      <c r="O25" s="50"/>
      <c r="P25" s="120">
        <f t="shared" si="1"/>
        <v>93266</v>
      </c>
      <c r="Q25" s="170"/>
      <c r="R25" s="170"/>
      <c r="S25" s="180"/>
      <c r="T25" s="186"/>
    </row>
    <row r="26" spans="1:20" ht="15">
      <c r="A26" s="136" t="s">
        <v>268</v>
      </c>
      <c r="B26" s="137" t="s">
        <v>259</v>
      </c>
      <c r="C26" s="131">
        <v>5000</v>
      </c>
      <c r="D26" s="47"/>
      <c r="E26" s="25"/>
      <c r="F26" s="25"/>
      <c r="G26" s="47"/>
      <c r="H26" s="47"/>
      <c r="I26" s="47"/>
      <c r="J26" s="47"/>
      <c r="K26" s="47"/>
      <c r="L26" s="47"/>
      <c r="M26" s="47"/>
      <c r="N26" s="25"/>
      <c r="O26" s="50"/>
      <c r="P26" s="120">
        <f t="shared" si="1"/>
        <v>5000</v>
      </c>
      <c r="Q26" s="170"/>
      <c r="R26" s="170"/>
      <c r="S26" s="186"/>
      <c r="T26" s="186"/>
    </row>
    <row r="27" spans="1:20" ht="15">
      <c r="A27" s="136" t="s">
        <v>443</v>
      </c>
      <c r="B27" s="243" t="s">
        <v>444</v>
      </c>
      <c r="C27" s="131">
        <v>70000</v>
      </c>
      <c r="D27" s="47"/>
      <c r="E27" s="25"/>
      <c r="F27" s="25"/>
      <c r="G27" s="47"/>
      <c r="H27" s="47"/>
      <c r="I27" s="47"/>
      <c r="J27" s="47"/>
      <c r="K27" s="47"/>
      <c r="L27" s="47"/>
      <c r="M27" s="47"/>
      <c r="N27" s="25"/>
      <c r="O27" s="50"/>
      <c r="P27" s="120">
        <f t="shared" si="1"/>
        <v>70000</v>
      </c>
      <c r="Q27" s="170"/>
      <c r="R27" s="170"/>
      <c r="S27" s="180"/>
      <c r="T27" s="186"/>
    </row>
    <row r="28" spans="1:20" ht="15">
      <c r="A28" s="13" t="s">
        <v>290</v>
      </c>
      <c r="B28" s="5" t="s">
        <v>291</v>
      </c>
      <c r="C28" s="25">
        <v>200000</v>
      </c>
      <c r="D28" s="47"/>
      <c r="E28" s="25"/>
      <c r="F28" s="25"/>
      <c r="G28" s="47"/>
      <c r="H28" s="47"/>
      <c r="I28" s="47"/>
      <c r="J28" s="47"/>
      <c r="K28" s="47"/>
      <c r="L28" s="47"/>
      <c r="M28" s="47"/>
      <c r="N28" s="25"/>
      <c r="O28" s="50"/>
      <c r="P28" s="120">
        <f t="shared" si="1"/>
        <v>200000</v>
      </c>
      <c r="Q28" s="170"/>
      <c r="R28" s="170"/>
      <c r="S28" s="180"/>
      <c r="T28" s="186"/>
    </row>
    <row r="29" spans="1:20" ht="15">
      <c r="A29" s="112" t="s">
        <v>63</v>
      </c>
      <c r="B29" s="113" t="s">
        <v>64</v>
      </c>
      <c r="C29" s="235"/>
      <c r="D29" s="19"/>
      <c r="E29" s="50"/>
      <c r="F29" s="50"/>
      <c r="G29" s="19"/>
      <c r="H29" s="19"/>
      <c r="I29" s="19"/>
      <c r="J29" s="19">
        <v>3178</v>
      </c>
      <c r="K29" s="19">
        <v>400</v>
      </c>
      <c r="L29" s="19"/>
      <c r="M29" s="19"/>
      <c r="N29" s="50"/>
      <c r="O29" s="50"/>
      <c r="P29" s="120">
        <f t="shared" si="1"/>
        <v>3578</v>
      </c>
      <c r="Q29" s="170"/>
      <c r="R29" s="170"/>
      <c r="S29" s="186"/>
      <c r="T29" s="186"/>
    </row>
    <row r="30" spans="1:20" ht="15">
      <c r="A30" s="112" t="s">
        <v>269</v>
      </c>
      <c r="B30" s="113" t="s">
        <v>125</v>
      </c>
      <c r="C30" s="114">
        <v>547763</v>
      </c>
      <c r="D30" s="19"/>
      <c r="E30" s="50"/>
      <c r="F30" s="50"/>
      <c r="G30" s="19"/>
      <c r="H30" s="19"/>
      <c r="I30" s="19"/>
      <c r="J30" s="19"/>
      <c r="K30" s="50"/>
      <c r="L30" s="50"/>
      <c r="M30" s="50"/>
      <c r="N30" s="50"/>
      <c r="O30" s="50"/>
      <c r="P30" s="120">
        <f t="shared" si="1"/>
        <v>547763</v>
      </c>
      <c r="Q30" s="170"/>
      <c r="R30" s="170"/>
      <c r="S30" s="186"/>
      <c r="T30" s="186"/>
    </row>
    <row r="31" spans="1:20" ht="15">
      <c r="A31" s="119" t="s">
        <v>65</v>
      </c>
      <c r="B31" s="82" t="s">
        <v>66</v>
      </c>
      <c r="C31" s="85">
        <f>SUM(C32:C55)</f>
        <v>8646182</v>
      </c>
      <c r="D31" s="85">
        <f aca="true" t="shared" si="8" ref="D31:N31">SUM(D32:D55)</f>
        <v>212656</v>
      </c>
      <c r="E31" s="85">
        <f t="shared" si="8"/>
        <v>0</v>
      </c>
      <c r="F31" s="85">
        <f t="shared" si="8"/>
        <v>0</v>
      </c>
      <c r="G31" s="85">
        <f t="shared" si="8"/>
        <v>198962</v>
      </c>
      <c r="H31" s="85">
        <f t="shared" si="8"/>
        <v>86600</v>
      </c>
      <c r="I31" s="85">
        <f t="shared" si="8"/>
        <v>71260</v>
      </c>
      <c r="J31" s="85">
        <f t="shared" si="8"/>
        <v>186036</v>
      </c>
      <c r="K31" s="85">
        <f t="shared" si="8"/>
        <v>33918</v>
      </c>
      <c r="L31" s="85">
        <f t="shared" si="8"/>
        <v>47236</v>
      </c>
      <c r="M31" s="85">
        <f t="shared" si="8"/>
        <v>36238</v>
      </c>
      <c r="N31" s="85">
        <f t="shared" si="8"/>
        <v>46513</v>
      </c>
      <c r="O31" s="85">
        <f>SUM(O32:O55)</f>
        <v>0</v>
      </c>
      <c r="P31" s="225">
        <f>SUM(P32:P55)</f>
        <v>9565601</v>
      </c>
      <c r="Q31" s="170"/>
      <c r="R31" s="170"/>
      <c r="S31" s="180"/>
      <c r="T31" s="186"/>
    </row>
    <row r="32" spans="1:20" ht="15">
      <c r="A32" s="139" t="s">
        <v>284</v>
      </c>
      <c r="B32" s="24" t="s">
        <v>445</v>
      </c>
      <c r="C32" s="50">
        <f>1259552-3442+21605</f>
        <v>1277715</v>
      </c>
      <c r="D32" s="19"/>
      <c r="E32" s="50"/>
      <c r="F32" s="50"/>
      <c r="G32" s="19"/>
      <c r="H32" s="19">
        <v>34576</v>
      </c>
      <c r="I32" s="19">
        <v>58352</v>
      </c>
      <c r="J32" s="19">
        <v>88286</v>
      </c>
      <c r="K32" s="19">
        <v>33918</v>
      </c>
      <c r="L32" s="19">
        <v>47236</v>
      </c>
      <c r="M32" s="201">
        <v>36238</v>
      </c>
      <c r="N32" s="50"/>
      <c r="O32" s="50"/>
      <c r="P32" s="120">
        <f t="shared" si="1"/>
        <v>1576321</v>
      </c>
      <c r="Q32" s="170"/>
      <c r="R32" s="170"/>
      <c r="S32" s="180"/>
      <c r="T32" s="186"/>
    </row>
    <row r="33" spans="1:20" ht="30">
      <c r="A33" s="139" t="s">
        <v>446</v>
      </c>
      <c r="B33" s="244" t="s">
        <v>447</v>
      </c>
      <c r="C33" s="19">
        <v>264063</v>
      </c>
      <c r="D33" s="19"/>
      <c r="E33" s="50"/>
      <c r="F33" s="50"/>
      <c r="G33" s="19"/>
      <c r="H33" s="19"/>
      <c r="I33" s="19"/>
      <c r="J33" s="19"/>
      <c r="K33" s="19"/>
      <c r="L33" s="19"/>
      <c r="M33" s="201"/>
      <c r="N33" s="54"/>
      <c r="O33" s="50"/>
      <c r="P33" s="120">
        <f t="shared" si="1"/>
        <v>264063</v>
      </c>
      <c r="Q33" s="170"/>
      <c r="R33" s="170"/>
      <c r="S33" s="180"/>
      <c r="T33" s="186"/>
    </row>
    <row r="34" spans="1:20" ht="30">
      <c r="A34" s="139" t="s">
        <v>448</v>
      </c>
      <c r="B34" s="244" t="s">
        <v>449</v>
      </c>
      <c r="C34" s="19">
        <f>93390+70000+63100</f>
        <v>226490</v>
      </c>
      <c r="D34" s="19"/>
      <c r="E34" s="50"/>
      <c r="F34" s="50"/>
      <c r="G34" s="19"/>
      <c r="H34" s="19"/>
      <c r="I34" s="19"/>
      <c r="J34" s="19"/>
      <c r="K34" s="19"/>
      <c r="L34" s="19"/>
      <c r="M34" s="201"/>
      <c r="N34" s="54"/>
      <c r="O34" s="50"/>
      <c r="P34" s="120">
        <f t="shared" si="1"/>
        <v>226490</v>
      </c>
      <c r="Q34" s="170"/>
      <c r="R34" s="170"/>
      <c r="S34" s="180"/>
      <c r="T34" s="186"/>
    </row>
    <row r="35" spans="1:20" ht="15">
      <c r="A35" s="139" t="s">
        <v>450</v>
      </c>
      <c r="B35" s="18" t="s">
        <v>451</v>
      </c>
      <c r="C35" s="19">
        <v>627620</v>
      </c>
      <c r="D35" s="19"/>
      <c r="E35" s="50"/>
      <c r="F35" s="50"/>
      <c r="G35" s="19"/>
      <c r="H35" s="19"/>
      <c r="I35" s="19"/>
      <c r="J35" s="19"/>
      <c r="K35" s="19"/>
      <c r="L35" s="19"/>
      <c r="M35" s="201"/>
      <c r="N35" s="54"/>
      <c r="O35" s="50"/>
      <c r="P35" s="120">
        <f t="shared" si="1"/>
        <v>627620</v>
      </c>
      <c r="Q35" s="170"/>
      <c r="R35" s="170"/>
      <c r="S35" s="180"/>
      <c r="T35" s="186"/>
    </row>
    <row r="36" spans="1:20" ht="30">
      <c r="A36" s="139" t="s">
        <v>452</v>
      </c>
      <c r="B36" s="244" t="s">
        <v>453</v>
      </c>
      <c r="C36" s="19">
        <v>70848</v>
      </c>
      <c r="D36" s="19"/>
      <c r="E36" s="50"/>
      <c r="F36" s="50"/>
      <c r="G36" s="19"/>
      <c r="H36" s="19"/>
      <c r="I36" s="19"/>
      <c r="J36" s="19"/>
      <c r="K36" s="19"/>
      <c r="L36" s="19"/>
      <c r="M36" s="201"/>
      <c r="N36" s="54"/>
      <c r="O36" s="50"/>
      <c r="P36" s="120">
        <f t="shared" si="1"/>
        <v>70848</v>
      </c>
      <c r="Q36" s="170"/>
      <c r="R36" s="170"/>
      <c r="S36" s="180"/>
      <c r="T36" s="186"/>
    </row>
    <row r="37" spans="1:20" ht="30">
      <c r="A37" s="139" t="s">
        <v>454</v>
      </c>
      <c r="B37" s="244" t="s">
        <v>455</v>
      </c>
      <c r="C37" s="19">
        <v>71160</v>
      </c>
      <c r="D37" s="19"/>
      <c r="E37" s="50"/>
      <c r="F37" s="50"/>
      <c r="G37" s="19"/>
      <c r="H37" s="19"/>
      <c r="I37" s="19"/>
      <c r="J37" s="19"/>
      <c r="K37" s="19"/>
      <c r="L37" s="19"/>
      <c r="M37" s="201"/>
      <c r="N37" s="54"/>
      <c r="O37" s="50"/>
      <c r="P37" s="120">
        <f t="shared" si="1"/>
        <v>71160</v>
      </c>
      <c r="Q37" s="170"/>
      <c r="R37" s="170"/>
      <c r="S37" s="180"/>
      <c r="T37" s="186"/>
    </row>
    <row r="38" spans="1:20" ht="15">
      <c r="A38" s="139" t="s">
        <v>456</v>
      </c>
      <c r="B38" s="18" t="s">
        <v>457</v>
      </c>
      <c r="C38" s="19">
        <f>478365-21605</f>
        <v>456760</v>
      </c>
      <c r="D38" s="19"/>
      <c r="E38" s="50"/>
      <c r="F38" s="50"/>
      <c r="G38" s="19"/>
      <c r="H38" s="19"/>
      <c r="I38" s="19"/>
      <c r="J38" s="19"/>
      <c r="K38" s="19"/>
      <c r="L38" s="19"/>
      <c r="M38" s="201"/>
      <c r="N38" s="54"/>
      <c r="O38" s="50"/>
      <c r="P38" s="120">
        <f t="shared" si="1"/>
        <v>456760</v>
      </c>
      <c r="Q38" s="170"/>
      <c r="R38" s="170"/>
      <c r="S38" s="186"/>
      <c r="T38" s="186"/>
    </row>
    <row r="39" spans="1:20" ht="15">
      <c r="A39" s="49" t="s">
        <v>172</v>
      </c>
      <c r="B39" s="140" t="s">
        <v>173</v>
      </c>
      <c r="C39" s="245"/>
      <c r="D39" s="19">
        <v>212656</v>
      </c>
      <c r="E39" s="50"/>
      <c r="F39" s="50"/>
      <c r="G39" s="8">
        <v>198962</v>
      </c>
      <c r="H39" s="8">
        <v>52024</v>
      </c>
      <c r="I39" s="8">
        <v>12908</v>
      </c>
      <c r="J39" s="8">
        <v>97750</v>
      </c>
      <c r="K39" s="19"/>
      <c r="L39" s="19"/>
      <c r="M39" s="19"/>
      <c r="N39" s="54">
        <v>46513</v>
      </c>
      <c r="O39" s="50"/>
      <c r="P39" s="120">
        <f t="shared" si="1"/>
        <v>620813</v>
      </c>
      <c r="Q39" s="170"/>
      <c r="R39" s="170"/>
      <c r="S39" s="186"/>
      <c r="T39" s="186"/>
    </row>
    <row r="40" spans="1:20" ht="15">
      <c r="A40" s="12" t="s">
        <v>363</v>
      </c>
      <c r="B40" s="6" t="s">
        <v>364</v>
      </c>
      <c r="C40" s="50">
        <v>34498</v>
      </c>
      <c r="D40" s="19"/>
      <c r="E40" s="50"/>
      <c r="F40" s="50"/>
      <c r="G40" s="19"/>
      <c r="H40" s="19"/>
      <c r="I40" s="19"/>
      <c r="J40" s="50"/>
      <c r="K40" s="50"/>
      <c r="L40" s="50"/>
      <c r="M40" s="50"/>
      <c r="N40" s="50"/>
      <c r="O40" s="50"/>
      <c r="P40" s="120">
        <f t="shared" si="1"/>
        <v>34498</v>
      </c>
      <c r="Q40" s="170"/>
      <c r="R40" s="170"/>
      <c r="S40" s="180"/>
      <c r="T40" s="186"/>
    </row>
    <row r="41" spans="1:20" ht="18" customHeight="1">
      <c r="A41" s="12" t="s">
        <v>410</v>
      </c>
      <c r="B41" s="6" t="s">
        <v>413</v>
      </c>
      <c r="C41" s="50">
        <f>137298+17740</f>
        <v>155038</v>
      </c>
      <c r="D41" s="19"/>
      <c r="E41" s="50"/>
      <c r="F41" s="50"/>
      <c r="G41" s="19"/>
      <c r="H41" s="19"/>
      <c r="I41" s="19"/>
      <c r="J41" s="50"/>
      <c r="K41" s="50"/>
      <c r="L41" s="50"/>
      <c r="M41" s="50"/>
      <c r="N41" s="50"/>
      <c r="O41" s="50"/>
      <c r="P41" s="120">
        <f t="shared" si="1"/>
        <v>155038</v>
      </c>
      <c r="Q41" s="170"/>
      <c r="R41" s="170"/>
      <c r="S41" s="180"/>
      <c r="T41" s="186"/>
    </row>
    <row r="42" spans="1:20" ht="45">
      <c r="A42" s="12" t="s">
        <v>411</v>
      </c>
      <c r="B42" s="6" t="s">
        <v>414</v>
      </c>
      <c r="C42" s="50">
        <f>116845+41081</f>
        <v>157926</v>
      </c>
      <c r="D42" s="19"/>
      <c r="E42" s="50"/>
      <c r="F42" s="50"/>
      <c r="G42" s="19"/>
      <c r="H42" s="19"/>
      <c r="I42" s="19"/>
      <c r="J42" s="50"/>
      <c r="K42" s="50"/>
      <c r="L42" s="50"/>
      <c r="M42" s="50"/>
      <c r="N42" s="50"/>
      <c r="O42" s="50"/>
      <c r="P42" s="120">
        <f t="shared" si="1"/>
        <v>157926</v>
      </c>
      <c r="Q42" s="170"/>
      <c r="R42" s="170"/>
      <c r="S42" s="180"/>
      <c r="T42" s="186"/>
    </row>
    <row r="43" spans="1:20" ht="45">
      <c r="A43" s="12" t="s">
        <v>412</v>
      </c>
      <c r="B43" s="6" t="s">
        <v>415</v>
      </c>
      <c r="C43" s="50">
        <f>107795+33455</f>
        <v>141250</v>
      </c>
      <c r="D43" s="19"/>
      <c r="E43" s="50"/>
      <c r="F43" s="50"/>
      <c r="G43" s="19"/>
      <c r="H43" s="19"/>
      <c r="I43" s="19"/>
      <c r="J43" s="50"/>
      <c r="K43" s="50"/>
      <c r="L43" s="50"/>
      <c r="M43" s="50"/>
      <c r="N43" s="50"/>
      <c r="O43" s="50"/>
      <c r="P43" s="120">
        <f t="shared" si="1"/>
        <v>141250</v>
      </c>
      <c r="Q43" s="170"/>
      <c r="R43" s="170"/>
      <c r="S43" s="180"/>
      <c r="T43" s="186"/>
    </row>
    <row r="44" spans="1:18" ht="15">
      <c r="A44" s="12" t="s">
        <v>422</v>
      </c>
      <c r="B44" s="6" t="s">
        <v>458</v>
      </c>
      <c r="C44" s="50">
        <f>352924+71811+10996</f>
        <v>435731</v>
      </c>
      <c r="D44" s="19"/>
      <c r="E44" s="50"/>
      <c r="F44" s="50"/>
      <c r="G44" s="19"/>
      <c r="H44" s="19"/>
      <c r="I44" s="19"/>
      <c r="J44" s="50"/>
      <c r="K44" s="50"/>
      <c r="L44" s="50"/>
      <c r="M44" s="50"/>
      <c r="N44" s="50"/>
      <c r="O44" s="50"/>
      <c r="P44" s="120">
        <f t="shared" si="1"/>
        <v>435731</v>
      </c>
      <c r="Q44" s="170"/>
      <c r="R44" s="170"/>
    </row>
    <row r="45" spans="1:18" ht="60">
      <c r="A45" s="12" t="s">
        <v>459</v>
      </c>
      <c r="B45" s="6" t="s">
        <v>460</v>
      </c>
      <c r="C45" s="19">
        <f>733851+2453274</f>
        <v>3187125</v>
      </c>
      <c r="D45" s="19"/>
      <c r="E45" s="50"/>
      <c r="F45" s="50"/>
      <c r="G45" s="19"/>
      <c r="H45" s="19"/>
      <c r="I45" s="19"/>
      <c r="J45" s="50"/>
      <c r="K45" s="50"/>
      <c r="L45" s="50"/>
      <c r="M45" s="50"/>
      <c r="N45" s="50"/>
      <c r="O45" s="50"/>
      <c r="P45" s="120">
        <f t="shared" si="1"/>
        <v>3187125</v>
      </c>
      <c r="Q45" s="170"/>
      <c r="R45" s="170"/>
    </row>
    <row r="46" spans="1:18" ht="45">
      <c r="A46" s="12" t="s">
        <v>461</v>
      </c>
      <c r="B46" s="6" t="s">
        <v>462</v>
      </c>
      <c r="C46" s="50">
        <v>25000</v>
      </c>
      <c r="D46" s="19"/>
      <c r="E46" s="50"/>
      <c r="F46" s="50"/>
      <c r="G46" s="19"/>
      <c r="H46" s="19"/>
      <c r="I46" s="19"/>
      <c r="J46" s="50"/>
      <c r="K46" s="50"/>
      <c r="L46" s="50"/>
      <c r="M46" s="50"/>
      <c r="N46" s="50"/>
      <c r="O46" s="50"/>
      <c r="P46" s="120">
        <f t="shared" si="1"/>
        <v>25000</v>
      </c>
      <c r="Q46" s="169"/>
      <c r="R46" s="169"/>
    </row>
    <row r="47" spans="1:18" ht="45">
      <c r="A47" s="12" t="s">
        <v>463</v>
      </c>
      <c r="B47" s="6" t="s">
        <v>464</v>
      </c>
      <c r="C47" s="50">
        <v>12500</v>
      </c>
      <c r="D47" s="19"/>
      <c r="E47" s="50"/>
      <c r="F47" s="50"/>
      <c r="G47" s="19"/>
      <c r="H47" s="19"/>
      <c r="I47" s="19"/>
      <c r="J47" s="50"/>
      <c r="K47" s="50"/>
      <c r="L47" s="50"/>
      <c r="M47" s="50"/>
      <c r="N47" s="50"/>
      <c r="O47" s="50"/>
      <c r="P47" s="120">
        <f t="shared" si="1"/>
        <v>12500</v>
      </c>
      <c r="Q47" s="169"/>
      <c r="R47" s="169"/>
    </row>
    <row r="48" spans="1:18" ht="30">
      <c r="A48" s="12" t="s">
        <v>465</v>
      </c>
      <c r="B48" s="6" t="s">
        <v>466</v>
      </c>
      <c r="C48" s="50">
        <f>507107-61408</f>
        <v>445699</v>
      </c>
      <c r="D48" s="19"/>
      <c r="E48" s="50"/>
      <c r="F48" s="50"/>
      <c r="G48" s="19"/>
      <c r="H48" s="19"/>
      <c r="I48" s="19"/>
      <c r="J48" s="50"/>
      <c r="K48" s="50"/>
      <c r="L48" s="50"/>
      <c r="M48" s="50"/>
      <c r="N48" s="50"/>
      <c r="O48" s="50"/>
      <c r="P48" s="120">
        <f t="shared" si="1"/>
        <v>445699</v>
      </c>
      <c r="Q48" s="169"/>
      <c r="R48" s="169"/>
    </row>
    <row r="49" spans="1:18" ht="45">
      <c r="A49" s="12" t="s">
        <v>467</v>
      </c>
      <c r="B49" s="6" t="s">
        <v>468</v>
      </c>
      <c r="C49" s="50">
        <f>21659+721219</f>
        <v>742878</v>
      </c>
      <c r="D49" s="19"/>
      <c r="E49" s="50"/>
      <c r="F49" s="50"/>
      <c r="G49" s="19"/>
      <c r="H49" s="19"/>
      <c r="I49" s="19"/>
      <c r="J49" s="50"/>
      <c r="K49" s="50"/>
      <c r="L49" s="50"/>
      <c r="M49" s="50"/>
      <c r="N49" s="50"/>
      <c r="O49" s="50"/>
      <c r="P49" s="120">
        <f t="shared" si="1"/>
        <v>742878</v>
      </c>
      <c r="Q49" s="169"/>
      <c r="R49" s="169"/>
    </row>
    <row r="50" spans="1:18" ht="30">
      <c r="A50" s="12" t="s">
        <v>469</v>
      </c>
      <c r="B50" s="6" t="s">
        <v>470</v>
      </c>
      <c r="C50" s="50">
        <f>43282-8470</f>
        <v>34812</v>
      </c>
      <c r="D50" s="19"/>
      <c r="E50" s="50"/>
      <c r="F50" s="50"/>
      <c r="G50" s="19"/>
      <c r="H50" s="19"/>
      <c r="I50" s="19"/>
      <c r="J50" s="50"/>
      <c r="K50" s="50"/>
      <c r="L50" s="50"/>
      <c r="M50" s="50"/>
      <c r="N50" s="50"/>
      <c r="O50" s="50"/>
      <c r="P50" s="120">
        <f t="shared" si="1"/>
        <v>34812</v>
      </c>
      <c r="Q50" s="169"/>
      <c r="R50" s="169"/>
    </row>
    <row r="51" spans="1:18" ht="45">
      <c r="A51" s="12" t="s">
        <v>471</v>
      </c>
      <c r="B51" s="6" t="s">
        <v>472</v>
      </c>
      <c r="C51" s="50">
        <f>36300-7865</f>
        <v>28435</v>
      </c>
      <c r="D51" s="19"/>
      <c r="E51" s="50"/>
      <c r="F51" s="50"/>
      <c r="G51" s="19"/>
      <c r="H51" s="19"/>
      <c r="I51" s="19"/>
      <c r="J51" s="50"/>
      <c r="K51" s="50"/>
      <c r="L51" s="50"/>
      <c r="M51" s="50"/>
      <c r="N51" s="50"/>
      <c r="O51" s="50"/>
      <c r="P51" s="120">
        <f t="shared" si="1"/>
        <v>28435</v>
      </c>
      <c r="Q51" s="169"/>
      <c r="R51" s="169"/>
    </row>
    <row r="52" spans="1:18" ht="39.75" customHeight="1">
      <c r="A52" s="12" t="s">
        <v>473</v>
      </c>
      <c r="B52" s="6" t="s">
        <v>474</v>
      </c>
      <c r="C52" s="19">
        <v>50000</v>
      </c>
      <c r="D52" s="19"/>
      <c r="E52" s="50"/>
      <c r="F52" s="50"/>
      <c r="G52" s="19"/>
      <c r="H52" s="19"/>
      <c r="I52" s="19"/>
      <c r="J52" s="50"/>
      <c r="K52" s="50"/>
      <c r="L52" s="50"/>
      <c r="M52" s="50"/>
      <c r="N52" s="50"/>
      <c r="O52" s="50"/>
      <c r="P52" s="120">
        <f t="shared" si="1"/>
        <v>50000</v>
      </c>
      <c r="Q52" s="169"/>
      <c r="R52" s="169"/>
    </row>
    <row r="53" spans="1:20" ht="30">
      <c r="A53" s="12" t="s">
        <v>675</v>
      </c>
      <c r="B53" s="6" t="s">
        <v>677</v>
      </c>
      <c r="C53" s="50">
        <v>5385</v>
      </c>
      <c r="D53" s="19"/>
      <c r="E53" s="50"/>
      <c r="F53" s="50"/>
      <c r="G53" s="19"/>
      <c r="H53" s="19"/>
      <c r="I53" s="19"/>
      <c r="J53" s="50"/>
      <c r="K53" s="50"/>
      <c r="L53" s="50"/>
      <c r="M53" s="50"/>
      <c r="N53" s="50"/>
      <c r="O53" s="50"/>
      <c r="P53" s="120">
        <f t="shared" si="1"/>
        <v>5385</v>
      </c>
      <c r="Q53" s="198"/>
      <c r="R53" s="198"/>
      <c r="S53" s="9"/>
      <c r="T53" s="9"/>
    </row>
    <row r="54" spans="1:20" ht="45">
      <c r="A54" s="12" t="s">
        <v>679</v>
      </c>
      <c r="B54" s="215" t="s">
        <v>685</v>
      </c>
      <c r="C54" s="50">
        <v>100351</v>
      </c>
      <c r="D54" s="19"/>
      <c r="E54" s="50"/>
      <c r="F54" s="50"/>
      <c r="G54" s="19"/>
      <c r="H54" s="19"/>
      <c r="I54" s="19"/>
      <c r="J54" s="50"/>
      <c r="K54" s="50"/>
      <c r="L54" s="50"/>
      <c r="M54" s="50"/>
      <c r="N54" s="50"/>
      <c r="O54" s="50"/>
      <c r="P54" s="120">
        <f>SUM(C54:O54)</f>
        <v>100351</v>
      </c>
      <c r="Q54" s="170"/>
      <c r="R54" s="170"/>
      <c r="S54" s="186"/>
      <c r="T54" s="186"/>
    </row>
    <row r="55" spans="1:20" ht="30">
      <c r="A55" s="12" t="s">
        <v>684</v>
      </c>
      <c r="B55" s="215" t="s">
        <v>686</v>
      </c>
      <c r="C55" s="50">
        <v>94898</v>
      </c>
      <c r="D55" s="50"/>
      <c r="E55" s="50"/>
      <c r="F55" s="50"/>
      <c r="G55" s="19"/>
      <c r="H55" s="19"/>
      <c r="I55" s="19"/>
      <c r="J55" s="50"/>
      <c r="K55" s="50"/>
      <c r="L55" s="50"/>
      <c r="M55" s="50"/>
      <c r="N55" s="50"/>
      <c r="O55" s="50"/>
      <c r="P55" s="120">
        <f t="shared" si="1"/>
        <v>94898</v>
      </c>
      <c r="Q55" s="170"/>
      <c r="R55" s="170"/>
      <c r="S55" s="186"/>
      <c r="T55" s="186"/>
    </row>
    <row r="56" spans="1:20" ht="15">
      <c r="A56" s="119" t="s">
        <v>67</v>
      </c>
      <c r="B56" s="141" t="s">
        <v>68</v>
      </c>
      <c r="C56" s="85">
        <f>SUM(C57:C57)</f>
        <v>0</v>
      </c>
      <c r="D56" s="85">
        <f>SUM(D57:D57)</f>
        <v>0</v>
      </c>
      <c r="E56" s="85">
        <f>SUM(E57:E57)</f>
        <v>0</v>
      </c>
      <c r="F56" s="85">
        <f>SUM(F57:F57)</f>
        <v>0</v>
      </c>
      <c r="G56" s="31">
        <f aca="true" t="shared" si="9" ref="G56:O56">SUM(G57:G57)</f>
        <v>0</v>
      </c>
      <c r="H56" s="31">
        <f t="shared" si="9"/>
        <v>0</v>
      </c>
      <c r="I56" s="31">
        <f>SUM(I57:I57)</f>
        <v>0</v>
      </c>
      <c r="J56" s="85">
        <f t="shared" si="9"/>
        <v>0</v>
      </c>
      <c r="K56" s="85">
        <f t="shared" si="9"/>
        <v>0</v>
      </c>
      <c r="L56" s="85">
        <f t="shared" si="9"/>
        <v>0</v>
      </c>
      <c r="M56" s="85">
        <f t="shared" si="9"/>
        <v>0</v>
      </c>
      <c r="N56" s="85">
        <f t="shared" si="9"/>
        <v>0</v>
      </c>
      <c r="O56" s="85">
        <f t="shared" si="9"/>
        <v>0</v>
      </c>
      <c r="P56" s="120">
        <f t="shared" si="1"/>
        <v>0</v>
      </c>
      <c r="Q56" s="170"/>
      <c r="R56" s="170"/>
      <c r="S56" s="180"/>
      <c r="T56" s="186"/>
    </row>
    <row r="57" spans="1:20" ht="15">
      <c r="A57" s="49" t="s">
        <v>174</v>
      </c>
      <c r="B57" s="24" t="s">
        <v>238</v>
      </c>
      <c r="C57" s="50"/>
      <c r="D57" s="19"/>
      <c r="E57" s="50"/>
      <c r="F57" s="50"/>
      <c r="G57" s="19"/>
      <c r="H57" s="19"/>
      <c r="I57" s="19"/>
      <c r="J57" s="19"/>
      <c r="K57" s="19"/>
      <c r="L57" s="19"/>
      <c r="M57" s="19"/>
      <c r="N57" s="50"/>
      <c r="O57" s="50"/>
      <c r="P57" s="120">
        <f t="shared" si="1"/>
        <v>0</v>
      </c>
      <c r="Q57" s="170"/>
      <c r="R57" s="170"/>
      <c r="S57" s="180"/>
      <c r="T57" s="186"/>
    </row>
    <row r="58" spans="1:20" ht="15">
      <c r="A58" s="216" t="s">
        <v>301</v>
      </c>
      <c r="B58" s="217" t="s">
        <v>298</v>
      </c>
      <c r="C58" s="50">
        <v>193452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120">
        <f t="shared" si="1"/>
        <v>193452</v>
      </c>
      <c r="Q58" s="170"/>
      <c r="R58" s="170"/>
      <c r="S58" s="180"/>
      <c r="T58" s="186"/>
    </row>
    <row r="59" spans="1:20" ht="30">
      <c r="A59" s="227" t="s">
        <v>475</v>
      </c>
      <c r="B59" s="223" t="s">
        <v>394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67">
        <f>350000+11099</f>
        <v>361099</v>
      </c>
      <c r="P59" s="120">
        <f t="shared" si="1"/>
        <v>361099</v>
      </c>
      <c r="Q59" s="170"/>
      <c r="R59" s="170"/>
      <c r="S59" s="180"/>
      <c r="T59" s="186"/>
    </row>
    <row r="60" spans="1:20" ht="15">
      <c r="A60" s="227" t="s">
        <v>476</v>
      </c>
      <c r="B60" s="224" t="s">
        <v>395</v>
      </c>
      <c r="C60" s="19">
        <v>31875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67"/>
      <c r="P60" s="120">
        <f t="shared" si="1"/>
        <v>31875</v>
      </c>
      <c r="Q60" s="170"/>
      <c r="R60" s="170"/>
      <c r="S60" s="180"/>
      <c r="T60" s="186"/>
    </row>
    <row r="61" spans="1:20" ht="30.75" thickBot="1">
      <c r="A61" s="227" t="s">
        <v>477</v>
      </c>
      <c r="B61" s="224" t="s">
        <v>396</v>
      </c>
      <c r="C61" s="19">
        <v>31639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67"/>
      <c r="P61" s="120">
        <f t="shared" si="1"/>
        <v>31639</v>
      </c>
      <c r="Q61" s="170"/>
      <c r="R61" s="170"/>
      <c r="S61" s="180"/>
      <c r="T61" s="186"/>
    </row>
    <row r="62" spans="1:20" s="182" customFormat="1" ht="15.75" thickBot="1">
      <c r="A62" s="74" t="s">
        <v>16</v>
      </c>
      <c r="B62" s="142" t="s">
        <v>69</v>
      </c>
      <c r="C62" s="43">
        <f aca="true" t="shared" si="10" ref="C62:O62">C63+C66+C70+C77</f>
        <v>4124256</v>
      </c>
      <c r="D62" s="43">
        <f t="shared" si="10"/>
        <v>798592</v>
      </c>
      <c r="E62" s="43">
        <f t="shared" si="10"/>
        <v>0</v>
      </c>
      <c r="F62" s="43">
        <f t="shared" si="10"/>
        <v>127351</v>
      </c>
      <c r="G62" s="43">
        <f t="shared" si="10"/>
        <v>12200</v>
      </c>
      <c r="H62" s="43">
        <f t="shared" si="10"/>
        <v>46150</v>
      </c>
      <c r="I62" s="43">
        <f t="shared" si="10"/>
        <v>64596</v>
      </c>
      <c r="J62" s="43">
        <f t="shared" si="10"/>
        <v>163074</v>
      </c>
      <c r="K62" s="43">
        <f t="shared" si="10"/>
        <v>29595</v>
      </c>
      <c r="L62" s="43">
        <f t="shared" si="10"/>
        <v>19463</v>
      </c>
      <c r="M62" s="43">
        <f t="shared" si="10"/>
        <v>0</v>
      </c>
      <c r="N62" s="43">
        <f t="shared" si="10"/>
        <v>25704</v>
      </c>
      <c r="O62" s="43">
        <f t="shared" si="10"/>
        <v>0</v>
      </c>
      <c r="P62" s="44">
        <f t="shared" si="1"/>
        <v>5410981</v>
      </c>
      <c r="Q62" s="170"/>
      <c r="R62" s="170"/>
      <c r="S62" s="186"/>
      <c r="T62" s="186"/>
    </row>
    <row r="63" spans="1:21" ht="15">
      <c r="A63" s="112" t="s">
        <v>70</v>
      </c>
      <c r="B63" s="141" t="s">
        <v>71</v>
      </c>
      <c r="C63" s="114">
        <f aca="true" t="shared" si="11" ref="C63:O63">SUM(C64:C65)</f>
        <v>27173</v>
      </c>
      <c r="D63" s="114">
        <f t="shared" si="11"/>
        <v>147340</v>
      </c>
      <c r="E63" s="114">
        <f t="shared" si="11"/>
        <v>0</v>
      </c>
      <c r="F63" s="114">
        <f t="shared" si="11"/>
        <v>71247</v>
      </c>
      <c r="G63" s="114">
        <f t="shared" si="11"/>
        <v>3200</v>
      </c>
      <c r="H63" s="114">
        <f t="shared" si="11"/>
        <v>31113</v>
      </c>
      <c r="I63" s="114">
        <f t="shared" si="11"/>
        <v>49096</v>
      </c>
      <c r="J63" s="114">
        <f t="shared" si="11"/>
        <v>97293</v>
      </c>
      <c r="K63" s="114">
        <f t="shared" si="11"/>
        <v>19781</v>
      </c>
      <c r="L63" s="114">
        <f t="shared" si="11"/>
        <v>12000</v>
      </c>
      <c r="M63" s="114">
        <f t="shared" si="11"/>
        <v>0</v>
      </c>
      <c r="N63" s="114">
        <f t="shared" si="11"/>
        <v>13000</v>
      </c>
      <c r="O63" s="114">
        <f t="shared" si="11"/>
        <v>0</v>
      </c>
      <c r="P63" s="48">
        <f t="shared" si="1"/>
        <v>471243</v>
      </c>
      <c r="Q63" s="170"/>
      <c r="R63" s="170"/>
      <c r="S63" s="186"/>
      <c r="T63" s="186"/>
      <c r="U63" s="237"/>
    </row>
    <row r="64" spans="1:20" ht="30">
      <c r="A64" s="49" t="s">
        <v>175</v>
      </c>
      <c r="B64" s="24" t="s">
        <v>309</v>
      </c>
      <c r="C64" s="123">
        <v>7813</v>
      </c>
      <c r="D64" s="19">
        <v>147340</v>
      </c>
      <c r="E64" s="19"/>
      <c r="F64" s="19">
        <v>71247</v>
      </c>
      <c r="G64" s="50">
        <v>3200</v>
      </c>
      <c r="H64" s="19">
        <v>31113</v>
      </c>
      <c r="I64" s="19">
        <v>49096</v>
      </c>
      <c r="J64" s="19">
        <v>97293</v>
      </c>
      <c r="K64" s="19">
        <v>19781</v>
      </c>
      <c r="L64" s="19">
        <v>12000</v>
      </c>
      <c r="M64" s="19"/>
      <c r="N64" s="54">
        <v>13000</v>
      </c>
      <c r="O64" s="50"/>
      <c r="P64" s="120">
        <f t="shared" si="1"/>
        <v>451883</v>
      </c>
      <c r="Q64" s="170"/>
      <c r="R64" s="170"/>
      <c r="S64" s="180"/>
      <c r="T64" s="186"/>
    </row>
    <row r="65" spans="1:20" ht="15">
      <c r="A65" s="49" t="s">
        <v>250</v>
      </c>
      <c r="B65" s="133" t="s">
        <v>478</v>
      </c>
      <c r="C65" s="50">
        <v>19360</v>
      </c>
      <c r="D65" s="50"/>
      <c r="E65" s="50"/>
      <c r="F65" s="19"/>
      <c r="G65" s="52"/>
      <c r="H65" s="19"/>
      <c r="I65" s="19"/>
      <c r="J65" s="50"/>
      <c r="K65" s="19"/>
      <c r="L65" s="50"/>
      <c r="M65" s="19"/>
      <c r="N65" s="54"/>
      <c r="O65" s="50"/>
      <c r="P65" s="120">
        <f t="shared" si="1"/>
        <v>19360</v>
      </c>
      <c r="Q65" s="170"/>
      <c r="R65" s="170"/>
      <c r="S65" s="180"/>
      <c r="T65" s="186"/>
    </row>
    <row r="66" spans="1:20" ht="15">
      <c r="A66" s="119" t="s">
        <v>2</v>
      </c>
      <c r="B66" s="121" t="s">
        <v>72</v>
      </c>
      <c r="C66" s="236">
        <f>SUM(C67:C69)</f>
        <v>486507</v>
      </c>
      <c r="D66" s="236">
        <f aca="true" t="shared" si="12" ref="D66:O66">SUM(D67:D69)</f>
        <v>651252</v>
      </c>
      <c r="E66" s="236">
        <f t="shared" si="12"/>
        <v>0</v>
      </c>
      <c r="F66" s="236">
        <f t="shared" si="12"/>
        <v>56104</v>
      </c>
      <c r="G66" s="236">
        <f t="shared" si="12"/>
        <v>0</v>
      </c>
      <c r="H66" s="236">
        <f t="shared" si="12"/>
        <v>15037</v>
      </c>
      <c r="I66" s="236">
        <f t="shared" si="12"/>
        <v>15500</v>
      </c>
      <c r="J66" s="236">
        <f t="shared" si="12"/>
        <v>65781</v>
      </c>
      <c r="K66" s="236">
        <f t="shared" si="12"/>
        <v>9814</v>
      </c>
      <c r="L66" s="236">
        <f t="shared" si="12"/>
        <v>7463</v>
      </c>
      <c r="M66" s="236">
        <f t="shared" si="12"/>
        <v>0</v>
      </c>
      <c r="N66" s="236">
        <f t="shared" si="12"/>
        <v>12704</v>
      </c>
      <c r="O66" s="236">
        <f t="shared" si="12"/>
        <v>0</v>
      </c>
      <c r="P66" s="120">
        <f t="shared" si="1"/>
        <v>1320162</v>
      </c>
      <c r="Q66" s="170"/>
      <c r="R66" s="170"/>
      <c r="S66" s="180"/>
      <c r="T66" s="186"/>
    </row>
    <row r="67" spans="1:20" s="182" customFormat="1" ht="15">
      <c r="A67" s="49" t="s">
        <v>176</v>
      </c>
      <c r="B67" s="33" t="s">
        <v>479</v>
      </c>
      <c r="C67" s="246">
        <f>98637+37405+5955</f>
        <v>141997</v>
      </c>
      <c r="D67" s="19">
        <v>29078</v>
      </c>
      <c r="E67" s="19"/>
      <c r="F67" s="19"/>
      <c r="G67" s="52"/>
      <c r="H67" s="19"/>
      <c r="I67" s="19"/>
      <c r="J67" s="19"/>
      <c r="K67" s="19"/>
      <c r="L67" s="19"/>
      <c r="M67" s="19"/>
      <c r="N67" s="54"/>
      <c r="O67" s="50"/>
      <c r="P67" s="120">
        <f t="shared" si="1"/>
        <v>171075</v>
      </c>
      <c r="Q67" s="170"/>
      <c r="R67" s="170"/>
      <c r="S67" s="180"/>
      <c r="T67" s="186"/>
    </row>
    <row r="68" spans="1:20" s="182" customFormat="1" ht="15">
      <c r="A68" s="144" t="s">
        <v>177</v>
      </c>
      <c r="B68" s="33" t="s">
        <v>480</v>
      </c>
      <c r="C68" s="247"/>
      <c r="D68" s="19">
        <v>622174</v>
      </c>
      <c r="E68" s="50"/>
      <c r="F68" s="50">
        <f>52673+3431</f>
        <v>56104</v>
      </c>
      <c r="G68" s="19"/>
      <c r="H68" s="19">
        <v>15037</v>
      </c>
      <c r="I68" s="19">
        <v>15500</v>
      </c>
      <c r="J68" s="19">
        <v>65781</v>
      </c>
      <c r="K68" s="19">
        <v>9814</v>
      </c>
      <c r="L68" s="19">
        <v>7463</v>
      </c>
      <c r="M68" s="19"/>
      <c r="N68" s="54">
        <v>12704</v>
      </c>
      <c r="O68" s="50"/>
      <c r="P68" s="120">
        <f t="shared" si="1"/>
        <v>804577</v>
      </c>
      <c r="Q68" s="170"/>
      <c r="R68" s="170"/>
      <c r="S68" s="180"/>
      <c r="T68" s="186"/>
    </row>
    <row r="69" spans="1:20" ht="60">
      <c r="A69" s="144" t="s">
        <v>694</v>
      </c>
      <c r="B69" s="140" t="s">
        <v>695</v>
      </c>
      <c r="C69" s="242">
        <v>344510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69"/>
      <c r="O69" s="25"/>
      <c r="P69" s="120">
        <f aca="true" t="shared" si="13" ref="P69:P124">SUM(C69:O69)</f>
        <v>344510</v>
      </c>
      <c r="Q69" s="170"/>
      <c r="R69" s="170"/>
      <c r="S69" s="186"/>
      <c r="T69" s="186"/>
    </row>
    <row r="70" spans="1:20" ht="29.25">
      <c r="A70" s="119" t="s">
        <v>178</v>
      </c>
      <c r="B70" s="141" t="s">
        <v>179</v>
      </c>
      <c r="C70" s="241">
        <f aca="true" t="shared" si="14" ref="C70:O70">SUM(C71:C76)</f>
        <v>3572265</v>
      </c>
      <c r="D70" s="114">
        <f t="shared" si="14"/>
        <v>0</v>
      </c>
      <c r="E70" s="114">
        <f t="shared" si="14"/>
        <v>0</v>
      </c>
      <c r="F70" s="114">
        <f t="shared" si="14"/>
        <v>0</v>
      </c>
      <c r="G70" s="114">
        <f t="shared" si="14"/>
        <v>0</v>
      </c>
      <c r="H70" s="114">
        <f t="shared" si="14"/>
        <v>0</v>
      </c>
      <c r="I70" s="114">
        <f t="shared" si="14"/>
        <v>0</v>
      </c>
      <c r="J70" s="114">
        <f t="shared" si="14"/>
        <v>0</v>
      </c>
      <c r="K70" s="114">
        <f t="shared" si="14"/>
        <v>0</v>
      </c>
      <c r="L70" s="114">
        <f t="shared" si="14"/>
        <v>0</v>
      </c>
      <c r="M70" s="114">
        <f t="shared" si="14"/>
        <v>0</v>
      </c>
      <c r="N70" s="114">
        <f t="shared" si="14"/>
        <v>0</v>
      </c>
      <c r="O70" s="114">
        <f t="shared" si="14"/>
        <v>0</v>
      </c>
      <c r="P70" s="120">
        <f t="shared" si="13"/>
        <v>3572265</v>
      </c>
      <c r="Q70" s="170"/>
      <c r="R70" s="170"/>
      <c r="S70" s="180"/>
      <c r="T70" s="186"/>
    </row>
    <row r="71" spans="1:20" ht="15">
      <c r="A71" s="49" t="s">
        <v>270</v>
      </c>
      <c r="B71" s="145" t="s">
        <v>304</v>
      </c>
      <c r="C71" s="248">
        <v>12100</v>
      </c>
      <c r="D71" s="114"/>
      <c r="E71" s="114"/>
      <c r="F71" s="114"/>
      <c r="G71" s="80"/>
      <c r="H71" s="114"/>
      <c r="I71" s="114"/>
      <c r="J71" s="114"/>
      <c r="K71" s="114"/>
      <c r="L71" s="114"/>
      <c r="M71" s="114"/>
      <c r="N71" s="114"/>
      <c r="O71" s="85"/>
      <c r="P71" s="120">
        <f t="shared" si="13"/>
        <v>12100</v>
      </c>
      <c r="Q71" s="170"/>
      <c r="R71" s="170"/>
      <c r="S71" s="180"/>
      <c r="T71" s="186"/>
    </row>
    <row r="72" spans="1:20" ht="60">
      <c r="A72" s="12" t="s">
        <v>365</v>
      </c>
      <c r="B72" s="6" t="s">
        <v>366</v>
      </c>
      <c r="C72" s="242">
        <f>857974+11811+67225</f>
        <v>937010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85"/>
      <c r="P72" s="120">
        <f t="shared" si="13"/>
        <v>937010</v>
      </c>
      <c r="Q72" s="170"/>
      <c r="R72" s="170"/>
      <c r="S72" s="180"/>
      <c r="T72" s="186"/>
    </row>
    <row r="73" spans="1:20" ht="45">
      <c r="A73" s="12" t="s">
        <v>367</v>
      </c>
      <c r="B73" s="145" t="s">
        <v>368</v>
      </c>
      <c r="C73" s="242">
        <v>252734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85"/>
      <c r="P73" s="120">
        <f t="shared" si="13"/>
        <v>252734</v>
      </c>
      <c r="Q73" s="170"/>
      <c r="R73" s="170"/>
      <c r="S73" s="180"/>
      <c r="T73" s="186"/>
    </row>
    <row r="74" spans="1:20" ht="30">
      <c r="A74" s="12" t="s">
        <v>481</v>
      </c>
      <c r="B74" s="145" t="s">
        <v>482</v>
      </c>
      <c r="C74" s="242">
        <v>31336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85"/>
      <c r="P74" s="120">
        <f t="shared" si="13"/>
        <v>31336</v>
      </c>
      <c r="Q74" s="170"/>
      <c r="R74" s="170"/>
      <c r="S74" s="180"/>
      <c r="T74" s="186"/>
    </row>
    <row r="75" spans="1:20" ht="30">
      <c r="A75" s="12" t="s">
        <v>483</v>
      </c>
      <c r="B75" s="145" t="s">
        <v>484</v>
      </c>
      <c r="C75" s="242">
        <v>117404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85"/>
      <c r="P75" s="120">
        <f t="shared" si="13"/>
        <v>117404</v>
      </c>
      <c r="Q75" s="170"/>
      <c r="R75" s="170"/>
      <c r="S75" s="180"/>
      <c r="T75" s="186"/>
    </row>
    <row r="76" spans="1:20" ht="45">
      <c r="A76" s="12" t="s">
        <v>485</v>
      </c>
      <c r="B76" s="145" t="s">
        <v>486</v>
      </c>
      <c r="C76" s="242">
        <f>1714572+507109</f>
        <v>2221681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85"/>
      <c r="P76" s="120">
        <f t="shared" si="13"/>
        <v>2221681</v>
      </c>
      <c r="Q76" s="170"/>
      <c r="R76" s="170"/>
      <c r="S76" s="180"/>
      <c r="T76" s="186"/>
    </row>
    <row r="77" spans="1:20" ht="29.25">
      <c r="A77" s="112" t="s">
        <v>180</v>
      </c>
      <c r="B77" s="141" t="s">
        <v>181</v>
      </c>
      <c r="C77" s="241">
        <f>C78</f>
        <v>38311</v>
      </c>
      <c r="D77" s="114">
        <f aca="true" t="shared" si="15" ref="D77:O77">D78</f>
        <v>0</v>
      </c>
      <c r="E77" s="114">
        <f t="shared" si="15"/>
        <v>0</v>
      </c>
      <c r="F77" s="114">
        <f t="shared" si="15"/>
        <v>0</v>
      </c>
      <c r="G77" s="114">
        <f t="shared" si="15"/>
        <v>9000</v>
      </c>
      <c r="H77" s="114">
        <f t="shared" si="15"/>
        <v>0</v>
      </c>
      <c r="I77" s="114">
        <f t="shared" si="15"/>
        <v>0</v>
      </c>
      <c r="J77" s="114">
        <f t="shared" si="15"/>
        <v>0</v>
      </c>
      <c r="K77" s="114">
        <f t="shared" si="15"/>
        <v>0</v>
      </c>
      <c r="L77" s="114">
        <f t="shared" si="15"/>
        <v>0</v>
      </c>
      <c r="M77" s="114">
        <f t="shared" si="15"/>
        <v>0</v>
      </c>
      <c r="N77" s="114">
        <f t="shared" si="15"/>
        <v>0</v>
      </c>
      <c r="O77" s="114">
        <f t="shared" si="15"/>
        <v>0</v>
      </c>
      <c r="P77" s="120">
        <f t="shared" si="13"/>
        <v>47311</v>
      </c>
      <c r="Q77" s="170"/>
      <c r="R77" s="170"/>
      <c r="S77" s="180"/>
      <c r="T77" s="186"/>
    </row>
    <row r="78" spans="1:20" ht="30.75" thickBot="1">
      <c r="A78" s="146" t="s">
        <v>271</v>
      </c>
      <c r="B78" s="140" t="s">
        <v>181</v>
      </c>
      <c r="C78" s="242">
        <v>38311</v>
      </c>
      <c r="D78" s="114"/>
      <c r="E78" s="114"/>
      <c r="F78" s="114"/>
      <c r="G78" s="47">
        <v>9000</v>
      </c>
      <c r="H78" s="114"/>
      <c r="I78" s="114"/>
      <c r="J78" s="114"/>
      <c r="K78" s="114"/>
      <c r="L78" s="114"/>
      <c r="M78" s="114"/>
      <c r="N78" s="114"/>
      <c r="O78" s="222"/>
      <c r="P78" s="157">
        <f t="shared" si="13"/>
        <v>47311</v>
      </c>
      <c r="Q78" s="170"/>
      <c r="R78" s="170"/>
      <c r="S78" s="180"/>
      <c r="T78" s="186"/>
    </row>
    <row r="79" spans="1:20" ht="30" thickBot="1">
      <c r="A79" s="74" t="s">
        <v>3</v>
      </c>
      <c r="B79" s="142" t="s">
        <v>73</v>
      </c>
      <c r="C79" s="195">
        <f aca="true" t="shared" si="16" ref="C79:O79">SUM(C80:C87)</f>
        <v>10169446</v>
      </c>
      <c r="D79" s="195">
        <f t="shared" si="16"/>
        <v>2663512</v>
      </c>
      <c r="E79" s="195">
        <f t="shared" si="16"/>
        <v>0</v>
      </c>
      <c r="F79" s="195">
        <f t="shared" si="16"/>
        <v>349794</v>
      </c>
      <c r="G79" s="195">
        <f t="shared" si="16"/>
        <v>91974</v>
      </c>
      <c r="H79" s="195">
        <f t="shared" si="16"/>
        <v>232272</v>
      </c>
      <c r="I79" s="195">
        <f t="shared" si="16"/>
        <v>215569</v>
      </c>
      <c r="J79" s="195">
        <f t="shared" si="16"/>
        <v>390627</v>
      </c>
      <c r="K79" s="195">
        <f t="shared" si="16"/>
        <v>135548</v>
      </c>
      <c r="L79" s="195">
        <f t="shared" si="16"/>
        <v>106912</v>
      </c>
      <c r="M79" s="195">
        <f t="shared" si="16"/>
        <v>116950</v>
      </c>
      <c r="N79" s="195">
        <f t="shared" si="16"/>
        <v>131838</v>
      </c>
      <c r="O79" s="195">
        <f t="shared" si="16"/>
        <v>0</v>
      </c>
      <c r="P79" s="44">
        <f t="shared" si="13"/>
        <v>14604442</v>
      </c>
      <c r="Q79" s="170"/>
      <c r="R79" s="170"/>
      <c r="S79" s="180"/>
      <c r="T79" s="186"/>
    </row>
    <row r="80" spans="1:20" ht="15">
      <c r="A80" s="112" t="s">
        <v>233</v>
      </c>
      <c r="B80" s="141" t="s">
        <v>272</v>
      </c>
      <c r="C80" s="249"/>
      <c r="D80" s="47"/>
      <c r="E80" s="25"/>
      <c r="F80" s="25"/>
      <c r="G80" s="47"/>
      <c r="H80" s="172"/>
      <c r="I80" s="47"/>
      <c r="J80" s="47"/>
      <c r="K80" s="47"/>
      <c r="L80" s="47"/>
      <c r="M80" s="47"/>
      <c r="N80" s="25"/>
      <c r="O80" s="25"/>
      <c r="P80" s="48">
        <f t="shared" si="13"/>
        <v>0</v>
      </c>
      <c r="Q80" s="170"/>
      <c r="R80" s="170"/>
      <c r="S80" s="180"/>
      <c r="T80" s="186"/>
    </row>
    <row r="81" spans="1:20" ht="15">
      <c r="A81" s="136" t="s">
        <v>251</v>
      </c>
      <c r="B81" s="140" t="s">
        <v>126</v>
      </c>
      <c r="C81" s="249"/>
      <c r="D81" s="47"/>
      <c r="E81" s="25"/>
      <c r="F81" s="25"/>
      <c r="G81" s="47"/>
      <c r="H81" s="19"/>
      <c r="I81" s="47"/>
      <c r="J81" s="47"/>
      <c r="K81" s="47"/>
      <c r="L81" s="47"/>
      <c r="M81" s="47"/>
      <c r="N81" s="25"/>
      <c r="O81" s="50"/>
      <c r="P81" s="120">
        <f t="shared" si="13"/>
        <v>0</v>
      </c>
      <c r="Q81" s="170"/>
      <c r="R81" s="170"/>
      <c r="S81" s="180"/>
      <c r="T81" s="186"/>
    </row>
    <row r="82" spans="1:20" ht="15">
      <c r="A82" s="119" t="s">
        <v>273</v>
      </c>
      <c r="B82" s="121" t="s">
        <v>182</v>
      </c>
      <c r="C82" s="246">
        <f>178238-50000</f>
        <v>128238</v>
      </c>
      <c r="D82" s="19"/>
      <c r="E82" s="50"/>
      <c r="F82" s="50"/>
      <c r="G82" s="19"/>
      <c r="H82" s="19"/>
      <c r="I82" s="19"/>
      <c r="J82" s="19"/>
      <c r="K82" s="19"/>
      <c r="L82" s="19"/>
      <c r="M82" s="19"/>
      <c r="N82" s="50"/>
      <c r="O82" s="50"/>
      <c r="P82" s="120">
        <f t="shared" si="13"/>
        <v>128238</v>
      </c>
      <c r="Q82" s="170"/>
      <c r="R82" s="170"/>
      <c r="S82" s="180"/>
      <c r="T82" s="186"/>
    </row>
    <row r="83" spans="1:20" ht="15">
      <c r="A83" s="119" t="s">
        <v>74</v>
      </c>
      <c r="B83" s="121" t="s">
        <v>75</v>
      </c>
      <c r="C83" s="246"/>
      <c r="D83" s="19"/>
      <c r="E83" s="19"/>
      <c r="F83" s="19"/>
      <c r="G83" s="52"/>
      <c r="H83" s="19"/>
      <c r="I83" s="19"/>
      <c r="J83" s="19"/>
      <c r="K83" s="19"/>
      <c r="L83" s="19"/>
      <c r="M83" s="19"/>
      <c r="N83" s="50"/>
      <c r="O83" s="50"/>
      <c r="P83" s="120">
        <f t="shared" si="13"/>
        <v>0</v>
      </c>
      <c r="Q83" s="170"/>
      <c r="R83" s="170"/>
      <c r="S83" s="180"/>
      <c r="T83" s="186"/>
    </row>
    <row r="84" spans="1:20" ht="15">
      <c r="A84" s="49" t="s">
        <v>310</v>
      </c>
      <c r="B84" s="33" t="s">
        <v>311</v>
      </c>
      <c r="C84" s="246"/>
      <c r="D84" s="19">
        <v>271658</v>
      </c>
      <c r="E84" s="19"/>
      <c r="F84" s="19">
        <f>30897+2197</f>
        <v>33094</v>
      </c>
      <c r="G84" s="52"/>
      <c r="H84" s="19">
        <v>19275</v>
      </c>
      <c r="I84" s="19">
        <v>30394</v>
      </c>
      <c r="J84" s="19">
        <v>40259</v>
      </c>
      <c r="K84" s="19">
        <v>17419</v>
      </c>
      <c r="L84" s="19">
        <v>8003</v>
      </c>
      <c r="M84" s="201">
        <v>88012</v>
      </c>
      <c r="N84" s="54">
        <v>5070</v>
      </c>
      <c r="O84" s="50"/>
      <c r="P84" s="120">
        <f t="shared" si="13"/>
        <v>513184</v>
      </c>
      <c r="Q84" s="170"/>
      <c r="R84" s="170"/>
      <c r="S84" s="180"/>
      <c r="T84" s="186"/>
    </row>
    <row r="85" spans="1:20" ht="15">
      <c r="A85" s="119" t="s">
        <v>76</v>
      </c>
      <c r="B85" s="121" t="s">
        <v>77</v>
      </c>
      <c r="C85" s="250">
        <f>1031321+850</f>
        <v>1032171</v>
      </c>
      <c r="D85" s="19"/>
      <c r="E85" s="19"/>
      <c r="F85" s="19"/>
      <c r="G85" s="50">
        <v>7989</v>
      </c>
      <c r="H85" s="19">
        <v>1500</v>
      </c>
      <c r="I85" s="19"/>
      <c r="J85" s="19">
        <v>9625</v>
      </c>
      <c r="K85" s="19"/>
      <c r="L85" s="19"/>
      <c r="M85" s="201"/>
      <c r="N85" s="50"/>
      <c r="O85" s="50"/>
      <c r="P85" s="120">
        <f t="shared" si="13"/>
        <v>1051285</v>
      </c>
      <c r="Q85" s="170"/>
      <c r="R85" s="170"/>
      <c r="S85" s="180"/>
      <c r="T85" s="186"/>
    </row>
    <row r="86" spans="1:20" ht="15">
      <c r="A86" s="49" t="s">
        <v>76</v>
      </c>
      <c r="B86" s="33" t="s">
        <v>487</v>
      </c>
      <c r="C86" s="250">
        <v>337230</v>
      </c>
      <c r="D86" s="50"/>
      <c r="E86" s="50"/>
      <c r="F86" s="50"/>
      <c r="G86" s="50"/>
      <c r="H86" s="50"/>
      <c r="I86" s="50"/>
      <c r="J86" s="50"/>
      <c r="K86" s="50"/>
      <c r="L86" s="50"/>
      <c r="M86" s="34"/>
      <c r="N86" s="50"/>
      <c r="O86" s="50"/>
      <c r="P86" s="120">
        <f t="shared" si="13"/>
        <v>337230</v>
      </c>
      <c r="Q86" s="170"/>
      <c r="R86" s="170"/>
      <c r="S86" s="180"/>
      <c r="T86" s="186"/>
    </row>
    <row r="87" spans="1:20" ht="43.5">
      <c r="A87" s="119" t="s">
        <v>78</v>
      </c>
      <c r="B87" s="121" t="s">
        <v>79</v>
      </c>
      <c r="C87" s="250">
        <f aca="true" t="shared" si="17" ref="C87:O87">SUM(C88:C124)</f>
        <v>8671807</v>
      </c>
      <c r="D87" s="236">
        <f t="shared" si="17"/>
        <v>2391854</v>
      </c>
      <c r="E87" s="236">
        <f t="shared" si="17"/>
        <v>0</v>
      </c>
      <c r="F87" s="236">
        <f t="shared" si="17"/>
        <v>316700</v>
      </c>
      <c r="G87" s="236">
        <f t="shared" si="17"/>
        <v>83985</v>
      </c>
      <c r="H87" s="236">
        <f t="shared" si="17"/>
        <v>211497</v>
      </c>
      <c r="I87" s="236">
        <f t="shared" si="17"/>
        <v>185175</v>
      </c>
      <c r="J87" s="236">
        <f t="shared" si="17"/>
        <v>340743</v>
      </c>
      <c r="K87" s="236">
        <f t="shared" si="17"/>
        <v>118129</v>
      </c>
      <c r="L87" s="236">
        <f t="shared" si="17"/>
        <v>98909</v>
      </c>
      <c r="M87" s="236">
        <f t="shared" si="17"/>
        <v>28938</v>
      </c>
      <c r="N87" s="236">
        <f t="shared" si="17"/>
        <v>126768</v>
      </c>
      <c r="O87" s="236">
        <f t="shared" si="17"/>
        <v>0</v>
      </c>
      <c r="P87" s="120">
        <f t="shared" si="13"/>
        <v>12574505</v>
      </c>
      <c r="Q87" s="170"/>
      <c r="R87" s="170"/>
      <c r="S87" s="180"/>
      <c r="T87" s="186"/>
    </row>
    <row r="88" spans="1:20" ht="15">
      <c r="A88" s="49" t="s">
        <v>183</v>
      </c>
      <c r="B88" s="33" t="s">
        <v>242</v>
      </c>
      <c r="C88" s="251"/>
      <c r="D88" s="19">
        <v>2373543</v>
      </c>
      <c r="E88" s="19"/>
      <c r="F88" s="19">
        <f>90887-4203</f>
        <v>86684</v>
      </c>
      <c r="G88" s="87"/>
      <c r="H88" s="47">
        <v>29947</v>
      </c>
      <c r="I88" s="19">
        <v>21950</v>
      </c>
      <c r="J88" s="19"/>
      <c r="K88" s="19"/>
      <c r="L88" s="19"/>
      <c r="M88" s="19"/>
      <c r="N88" s="19"/>
      <c r="O88" s="50"/>
      <c r="P88" s="120">
        <f t="shared" si="13"/>
        <v>2512124</v>
      </c>
      <c r="Q88" s="170"/>
      <c r="R88" s="170"/>
      <c r="S88" s="180"/>
      <c r="T88" s="186"/>
    </row>
    <row r="89" spans="1:20" ht="15">
      <c r="A89" s="49" t="s">
        <v>184</v>
      </c>
      <c r="B89" s="33" t="s">
        <v>243</v>
      </c>
      <c r="C89" s="251"/>
      <c r="D89" s="19"/>
      <c r="E89" s="19"/>
      <c r="F89" s="19">
        <f>173533+56483</f>
        <v>230016</v>
      </c>
      <c r="G89" s="87"/>
      <c r="H89" s="19">
        <v>107261</v>
      </c>
      <c r="I89" s="19">
        <v>96420</v>
      </c>
      <c r="J89" s="19">
        <v>183100</v>
      </c>
      <c r="K89" s="19"/>
      <c r="L89" s="19"/>
      <c r="M89" s="19"/>
      <c r="N89" s="50"/>
      <c r="O89" s="50"/>
      <c r="P89" s="120">
        <f t="shared" si="13"/>
        <v>616797</v>
      </c>
      <c r="Q89" s="170"/>
      <c r="R89" s="170"/>
      <c r="S89" s="180"/>
      <c r="T89" s="186"/>
    </row>
    <row r="90" spans="1:20" ht="15">
      <c r="A90" s="49" t="s">
        <v>185</v>
      </c>
      <c r="B90" s="33" t="s">
        <v>488</v>
      </c>
      <c r="C90" s="246">
        <v>15536</v>
      </c>
      <c r="D90" s="19">
        <v>18311</v>
      </c>
      <c r="E90" s="50"/>
      <c r="F90" s="50"/>
      <c r="G90" s="50">
        <v>13387</v>
      </c>
      <c r="H90" s="19"/>
      <c r="I90" s="19"/>
      <c r="J90" s="19">
        <v>16064</v>
      </c>
      <c r="K90" s="19">
        <v>9966</v>
      </c>
      <c r="L90" s="19"/>
      <c r="M90" s="19">
        <v>5495</v>
      </c>
      <c r="N90" s="50"/>
      <c r="O90" s="50"/>
      <c r="P90" s="120">
        <f t="shared" si="13"/>
        <v>78759</v>
      </c>
      <c r="Q90" s="170"/>
      <c r="R90" s="170"/>
      <c r="S90" s="180"/>
      <c r="T90" s="186"/>
    </row>
    <row r="91" spans="1:20" ht="30">
      <c r="A91" s="49" t="s">
        <v>186</v>
      </c>
      <c r="B91" s="33" t="s">
        <v>489</v>
      </c>
      <c r="C91" s="242">
        <f>84800-24950</f>
        <v>59850</v>
      </c>
      <c r="D91" s="19"/>
      <c r="E91" s="50"/>
      <c r="F91" s="50"/>
      <c r="G91" s="19">
        <v>3617</v>
      </c>
      <c r="H91" s="19">
        <v>1995</v>
      </c>
      <c r="I91" s="19">
        <v>7712</v>
      </c>
      <c r="J91" s="19">
        <v>1899</v>
      </c>
      <c r="K91" s="19">
        <v>3727</v>
      </c>
      <c r="L91" s="19">
        <v>4000</v>
      </c>
      <c r="M91" s="19"/>
      <c r="N91" s="50">
        <v>2000</v>
      </c>
      <c r="O91" s="50"/>
      <c r="P91" s="120">
        <f t="shared" si="13"/>
        <v>84800</v>
      </c>
      <c r="Q91" s="170"/>
      <c r="R91" s="170"/>
      <c r="S91" s="180"/>
      <c r="T91" s="186"/>
    </row>
    <row r="92" spans="1:20" ht="30">
      <c r="A92" s="49" t="s">
        <v>187</v>
      </c>
      <c r="B92" s="140" t="s">
        <v>490</v>
      </c>
      <c r="C92" s="242">
        <f>65263+1089</f>
        <v>66352</v>
      </c>
      <c r="D92" s="19"/>
      <c r="E92" s="50"/>
      <c r="F92" s="50"/>
      <c r="G92" s="50">
        <v>5369</v>
      </c>
      <c r="H92" s="19"/>
      <c r="I92" s="19">
        <v>3000</v>
      </c>
      <c r="J92" s="19">
        <v>4179</v>
      </c>
      <c r="K92" s="19"/>
      <c r="L92" s="19"/>
      <c r="M92" s="19"/>
      <c r="N92" s="50"/>
      <c r="O92" s="50"/>
      <c r="P92" s="120">
        <f t="shared" si="13"/>
        <v>78900</v>
      </c>
      <c r="Q92" s="170"/>
      <c r="R92" s="170"/>
      <c r="S92" s="180"/>
      <c r="T92" s="186"/>
    </row>
    <row r="93" spans="1:20" ht="30" customHeight="1">
      <c r="A93" s="49" t="s">
        <v>188</v>
      </c>
      <c r="B93" s="147" t="s">
        <v>491</v>
      </c>
      <c r="C93" s="247">
        <f>90000+7943+4000+70000</f>
        <v>171943</v>
      </c>
      <c r="D93" s="50"/>
      <c r="E93" s="50"/>
      <c r="F93" s="50"/>
      <c r="G93" s="50">
        <v>2889</v>
      </c>
      <c r="H93" s="19"/>
      <c r="I93" s="19">
        <v>46093</v>
      </c>
      <c r="J93" s="19"/>
      <c r="K93" s="19">
        <v>81708</v>
      </c>
      <c r="L93" s="19"/>
      <c r="M93" s="201">
        <v>17848</v>
      </c>
      <c r="N93" s="50"/>
      <c r="O93" s="50"/>
      <c r="P93" s="120">
        <f t="shared" si="13"/>
        <v>320481</v>
      </c>
      <c r="Q93" s="170"/>
      <c r="R93" s="170"/>
      <c r="S93" s="180"/>
      <c r="T93" s="186"/>
    </row>
    <row r="94" spans="1:20" ht="15">
      <c r="A94" s="49" t="s">
        <v>189</v>
      </c>
      <c r="B94" s="33" t="s">
        <v>492</v>
      </c>
      <c r="C94" s="20">
        <v>6000</v>
      </c>
      <c r="D94" s="19"/>
      <c r="E94" s="50"/>
      <c r="F94" s="50"/>
      <c r="G94" s="19"/>
      <c r="H94" s="19"/>
      <c r="I94" s="19"/>
      <c r="J94" s="19"/>
      <c r="K94" s="19"/>
      <c r="L94" s="19"/>
      <c r="M94" s="19"/>
      <c r="N94" s="50"/>
      <c r="O94" s="50"/>
      <c r="P94" s="120">
        <f t="shared" si="13"/>
        <v>6000</v>
      </c>
      <c r="Q94" s="170"/>
      <c r="R94" s="170"/>
      <c r="S94" s="180"/>
      <c r="T94" s="186"/>
    </row>
    <row r="95" spans="1:20" ht="15">
      <c r="A95" s="49" t="s">
        <v>190</v>
      </c>
      <c r="B95" s="33" t="s">
        <v>493</v>
      </c>
      <c r="C95" s="247"/>
      <c r="D95" s="50"/>
      <c r="E95" s="50"/>
      <c r="F95" s="50"/>
      <c r="G95" s="19"/>
      <c r="H95" s="19">
        <v>72294</v>
      </c>
      <c r="I95" s="19"/>
      <c r="J95" s="8">
        <v>135501</v>
      </c>
      <c r="K95" s="19">
        <v>22728</v>
      </c>
      <c r="L95" s="19">
        <v>94909</v>
      </c>
      <c r="M95" s="19"/>
      <c r="N95" s="54">
        <v>124768</v>
      </c>
      <c r="O95" s="50"/>
      <c r="P95" s="120">
        <f t="shared" si="13"/>
        <v>450200</v>
      </c>
      <c r="Q95" s="170"/>
      <c r="R95" s="170"/>
      <c r="S95" s="180"/>
      <c r="T95" s="186"/>
    </row>
    <row r="96" spans="1:20" ht="15">
      <c r="A96" s="49" t="s">
        <v>278</v>
      </c>
      <c r="B96" s="140" t="s">
        <v>494</v>
      </c>
      <c r="C96" s="20"/>
      <c r="D96" s="19"/>
      <c r="E96" s="19"/>
      <c r="F96" s="19"/>
      <c r="G96" s="19">
        <v>53266</v>
      </c>
      <c r="H96" s="19"/>
      <c r="I96" s="19">
        <v>10000</v>
      </c>
      <c r="J96" s="8"/>
      <c r="K96" s="19"/>
      <c r="L96" s="19"/>
      <c r="M96" s="19">
        <v>5595</v>
      </c>
      <c r="N96" s="50"/>
      <c r="O96" s="50"/>
      <c r="P96" s="120">
        <f t="shared" si="13"/>
        <v>68861</v>
      </c>
      <c r="Q96" s="170"/>
      <c r="R96" s="170"/>
      <c r="S96" s="180"/>
      <c r="T96" s="186"/>
    </row>
    <row r="97" spans="1:20" ht="30" customHeight="1">
      <c r="A97" s="253" t="s">
        <v>495</v>
      </c>
      <c r="B97" s="4" t="s">
        <v>496</v>
      </c>
      <c r="C97" s="20">
        <f>609259+45888</f>
        <v>655147</v>
      </c>
      <c r="D97" s="19"/>
      <c r="E97" s="19"/>
      <c r="F97" s="19"/>
      <c r="G97" s="19"/>
      <c r="H97" s="19"/>
      <c r="I97" s="19"/>
      <c r="J97" s="8"/>
      <c r="K97" s="19"/>
      <c r="L97" s="19"/>
      <c r="M97" s="19"/>
      <c r="N97" s="50"/>
      <c r="O97" s="50"/>
      <c r="P97" s="120">
        <f>SUM(C97:O97)</f>
        <v>655147</v>
      </c>
      <c r="Q97" s="170"/>
      <c r="R97" s="170"/>
      <c r="S97" s="180"/>
      <c r="T97" s="186"/>
    </row>
    <row r="98" spans="1:20" ht="15">
      <c r="A98" s="253" t="s">
        <v>497</v>
      </c>
      <c r="B98" s="4" t="s">
        <v>498</v>
      </c>
      <c r="C98" s="20">
        <v>199168</v>
      </c>
      <c r="D98" s="19"/>
      <c r="E98" s="19"/>
      <c r="F98" s="19"/>
      <c r="G98" s="19"/>
      <c r="H98" s="19"/>
      <c r="I98" s="19"/>
      <c r="J98" s="8"/>
      <c r="K98" s="19"/>
      <c r="L98" s="19"/>
      <c r="M98" s="19"/>
      <c r="N98" s="50"/>
      <c r="O98" s="50"/>
      <c r="P98" s="120">
        <f t="shared" si="13"/>
        <v>199168</v>
      </c>
      <c r="Q98" s="170"/>
      <c r="R98" s="170"/>
      <c r="S98" s="180"/>
      <c r="T98" s="186"/>
    </row>
    <row r="99" spans="1:20" ht="30" customHeight="1">
      <c r="A99" s="253" t="s">
        <v>499</v>
      </c>
      <c r="B99" s="4" t="s">
        <v>500</v>
      </c>
      <c r="C99" s="20">
        <v>153815</v>
      </c>
      <c r="D99" s="19"/>
      <c r="E99" s="19"/>
      <c r="F99" s="19"/>
      <c r="G99" s="19"/>
      <c r="H99" s="19"/>
      <c r="I99" s="19"/>
      <c r="J99" s="8"/>
      <c r="K99" s="19"/>
      <c r="L99" s="19"/>
      <c r="M99" s="19"/>
      <c r="N99" s="50"/>
      <c r="O99" s="50"/>
      <c r="P99" s="120">
        <f t="shared" si="13"/>
        <v>153815</v>
      </c>
      <c r="Q99" s="170"/>
      <c r="R99" s="170"/>
      <c r="S99" s="180"/>
      <c r="T99" s="186"/>
    </row>
    <row r="100" spans="1:20" ht="15">
      <c r="A100" s="253" t="s">
        <v>501</v>
      </c>
      <c r="B100" s="4" t="s">
        <v>502</v>
      </c>
      <c r="C100" s="20">
        <f>383525+8586+129</f>
        <v>392240</v>
      </c>
      <c r="D100" s="19"/>
      <c r="E100" s="19"/>
      <c r="F100" s="19"/>
      <c r="G100" s="19"/>
      <c r="H100" s="19"/>
      <c r="I100" s="19"/>
      <c r="J100" s="8"/>
      <c r="K100" s="19"/>
      <c r="L100" s="19"/>
      <c r="M100" s="19"/>
      <c r="N100" s="50"/>
      <c r="O100" s="50"/>
      <c r="P100" s="120">
        <f t="shared" si="13"/>
        <v>392240</v>
      </c>
      <c r="Q100" s="170"/>
      <c r="R100" s="170"/>
      <c r="S100" s="180"/>
      <c r="T100" s="186"/>
    </row>
    <row r="101" spans="1:20" ht="15">
      <c r="A101" s="253" t="s">
        <v>503</v>
      </c>
      <c r="B101" s="4" t="s">
        <v>504</v>
      </c>
      <c r="C101" s="254">
        <f>482330+1937+580</f>
        <v>484847</v>
      </c>
      <c r="D101" s="19"/>
      <c r="E101" s="19"/>
      <c r="F101" s="19"/>
      <c r="G101" s="19"/>
      <c r="H101" s="19"/>
      <c r="I101" s="19"/>
      <c r="J101" s="8"/>
      <c r="K101" s="19"/>
      <c r="L101" s="19"/>
      <c r="M101" s="19"/>
      <c r="N101" s="50"/>
      <c r="O101" s="50"/>
      <c r="P101" s="120">
        <f t="shared" si="13"/>
        <v>484847</v>
      </c>
      <c r="Q101" s="170"/>
      <c r="R101" s="170"/>
      <c r="S101" s="180"/>
      <c r="T101" s="186"/>
    </row>
    <row r="102" spans="1:20" ht="15">
      <c r="A102" s="253" t="s">
        <v>505</v>
      </c>
      <c r="B102" s="4" t="s">
        <v>506</v>
      </c>
      <c r="C102" s="252">
        <f>84767+3464+3628</f>
        <v>91859</v>
      </c>
      <c r="D102" s="19"/>
      <c r="E102" s="19"/>
      <c r="F102" s="19"/>
      <c r="G102" s="19"/>
      <c r="H102" s="19"/>
      <c r="I102" s="19"/>
      <c r="J102" s="8"/>
      <c r="K102" s="19"/>
      <c r="L102" s="19"/>
      <c r="M102" s="19"/>
      <c r="N102" s="50"/>
      <c r="O102" s="50"/>
      <c r="P102" s="120">
        <f t="shared" si="13"/>
        <v>91859</v>
      </c>
      <c r="Q102" s="170"/>
      <c r="R102" s="170"/>
      <c r="S102" s="180"/>
      <c r="T102" s="186"/>
    </row>
    <row r="103" spans="1:20" ht="30" customHeight="1">
      <c r="A103" s="253" t="s">
        <v>507</v>
      </c>
      <c r="B103" s="4" t="s">
        <v>508</v>
      </c>
      <c r="C103" s="20">
        <f>60468+1174</f>
        <v>61642</v>
      </c>
      <c r="D103" s="19"/>
      <c r="E103" s="19"/>
      <c r="F103" s="19"/>
      <c r="G103" s="19"/>
      <c r="H103" s="19"/>
      <c r="I103" s="19"/>
      <c r="J103" s="8"/>
      <c r="K103" s="19"/>
      <c r="L103" s="19"/>
      <c r="M103" s="19"/>
      <c r="N103" s="50"/>
      <c r="O103" s="50"/>
      <c r="P103" s="120">
        <f t="shared" si="13"/>
        <v>61642</v>
      </c>
      <c r="Q103" s="170"/>
      <c r="R103" s="170"/>
      <c r="S103" s="180"/>
      <c r="T103" s="186"/>
    </row>
    <row r="104" spans="1:20" ht="30" customHeight="1">
      <c r="A104" s="253" t="s">
        <v>509</v>
      </c>
      <c r="B104" s="4" t="s">
        <v>510</v>
      </c>
      <c r="C104" s="20">
        <f>366490-10616+10000</f>
        <v>365874</v>
      </c>
      <c r="D104" s="19"/>
      <c r="E104" s="19"/>
      <c r="F104" s="19"/>
      <c r="G104" s="19"/>
      <c r="H104" s="19"/>
      <c r="I104" s="19"/>
      <c r="J104" s="8"/>
      <c r="K104" s="19"/>
      <c r="L104" s="19"/>
      <c r="M104" s="19"/>
      <c r="N104" s="50"/>
      <c r="O104" s="50"/>
      <c r="P104" s="120">
        <f t="shared" si="13"/>
        <v>365874</v>
      </c>
      <c r="Q104" s="170"/>
      <c r="R104" s="170"/>
      <c r="S104" s="180"/>
      <c r="T104" s="186"/>
    </row>
    <row r="105" spans="1:20" ht="15">
      <c r="A105" s="253" t="s">
        <v>511</v>
      </c>
      <c r="B105" s="4" t="s">
        <v>512</v>
      </c>
      <c r="C105" s="230">
        <f>559153+74369-16000</f>
        <v>617522</v>
      </c>
      <c r="D105" s="19"/>
      <c r="E105" s="19"/>
      <c r="F105" s="19"/>
      <c r="G105" s="19"/>
      <c r="H105" s="19"/>
      <c r="I105" s="19"/>
      <c r="J105" s="8"/>
      <c r="K105" s="19"/>
      <c r="L105" s="19"/>
      <c r="M105" s="19"/>
      <c r="N105" s="50"/>
      <c r="O105" s="50"/>
      <c r="P105" s="120">
        <f t="shared" si="13"/>
        <v>617522</v>
      </c>
      <c r="Q105" s="170"/>
      <c r="R105" s="170"/>
      <c r="S105" s="180"/>
      <c r="T105" s="186"/>
    </row>
    <row r="106" spans="1:20" ht="30">
      <c r="A106" s="12" t="s">
        <v>303</v>
      </c>
      <c r="B106" s="148" t="s">
        <v>305</v>
      </c>
      <c r="C106" s="246">
        <v>1623985</v>
      </c>
      <c r="D106" s="50"/>
      <c r="E106" s="50"/>
      <c r="F106" s="50"/>
      <c r="G106" s="19"/>
      <c r="H106" s="19"/>
      <c r="I106" s="19"/>
      <c r="J106" s="8"/>
      <c r="K106" s="50"/>
      <c r="L106" s="19"/>
      <c r="M106" s="19"/>
      <c r="N106" s="50"/>
      <c r="O106" s="50"/>
      <c r="P106" s="120">
        <f t="shared" si="13"/>
        <v>1623985</v>
      </c>
      <c r="Q106" s="170"/>
      <c r="R106" s="170"/>
      <c r="S106" s="180"/>
      <c r="T106" s="186"/>
    </row>
    <row r="107" spans="1:20" ht="30">
      <c r="A107" s="227" t="s">
        <v>678</v>
      </c>
      <c r="B107" s="211" t="s">
        <v>397</v>
      </c>
      <c r="C107" s="230">
        <f>1004823+6310+22646</f>
        <v>1033779</v>
      </c>
      <c r="D107" s="50"/>
      <c r="E107" s="50"/>
      <c r="F107" s="50"/>
      <c r="G107" s="19"/>
      <c r="H107" s="19"/>
      <c r="I107" s="19"/>
      <c r="J107" s="8"/>
      <c r="K107" s="50"/>
      <c r="L107" s="19"/>
      <c r="M107" s="19"/>
      <c r="N107" s="50"/>
      <c r="O107" s="50"/>
      <c r="P107" s="120">
        <f t="shared" si="13"/>
        <v>1033779</v>
      </c>
      <c r="Q107" s="170"/>
      <c r="R107" s="170"/>
      <c r="S107" s="180"/>
      <c r="T107" s="186"/>
    </row>
    <row r="108" spans="1:20" ht="30">
      <c r="A108" s="227" t="s">
        <v>513</v>
      </c>
      <c r="B108" s="17" t="s">
        <v>514</v>
      </c>
      <c r="C108" s="20">
        <f>352808+170000</f>
        <v>522808</v>
      </c>
      <c r="D108" s="50"/>
      <c r="E108" s="50"/>
      <c r="F108" s="50"/>
      <c r="G108" s="19"/>
      <c r="H108" s="19"/>
      <c r="I108" s="19"/>
      <c r="J108" s="8"/>
      <c r="K108" s="50"/>
      <c r="L108" s="19"/>
      <c r="M108" s="19"/>
      <c r="N108" s="50"/>
      <c r="O108" s="50"/>
      <c r="P108" s="120">
        <f t="shared" si="13"/>
        <v>522808</v>
      </c>
      <c r="Q108" s="170"/>
      <c r="R108" s="170"/>
      <c r="S108" s="180"/>
      <c r="T108" s="186"/>
    </row>
    <row r="109" spans="1:20" ht="30">
      <c r="A109" s="227" t="s">
        <v>515</v>
      </c>
      <c r="B109" s="17" t="s">
        <v>516</v>
      </c>
      <c r="C109" s="230">
        <f>375000+10000</f>
        <v>385000</v>
      </c>
      <c r="D109" s="50"/>
      <c r="E109" s="50"/>
      <c r="F109" s="50"/>
      <c r="G109" s="19"/>
      <c r="H109" s="19"/>
      <c r="I109" s="19"/>
      <c r="J109" s="8"/>
      <c r="K109" s="50"/>
      <c r="L109" s="19"/>
      <c r="M109" s="19"/>
      <c r="N109" s="50"/>
      <c r="O109" s="50"/>
      <c r="P109" s="120">
        <f t="shared" si="13"/>
        <v>385000</v>
      </c>
      <c r="Q109" s="170"/>
      <c r="R109" s="170"/>
      <c r="S109" s="180"/>
      <c r="T109" s="186"/>
    </row>
    <row r="110" spans="1:20" ht="15.75">
      <c r="A110" s="12" t="s">
        <v>331</v>
      </c>
      <c r="B110" s="14" t="s">
        <v>332</v>
      </c>
      <c r="C110" s="251"/>
      <c r="D110" s="50"/>
      <c r="E110" s="50"/>
      <c r="F110" s="50"/>
      <c r="G110" s="50"/>
      <c r="H110" s="50"/>
      <c r="I110" s="50"/>
      <c r="J110" s="123"/>
      <c r="K110" s="50"/>
      <c r="L110" s="50"/>
      <c r="M110" s="50"/>
      <c r="N110" s="50"/>
      <c r="O110" s="50"/>
      <c r="P110" s="120">
        <f t="shared" si="13"/>
        <v>0</v>
      </c>
      <c r="Q110" s="170"/>
      <c r="R110" s="170"/>
      <c r="S110" s="180"/>
      <c r="T110" s="186"/>
    </row>
    <row r="111" spans="1:20" ht="15.75">
      <c r="A111" s="12" t="s">
        <v>333</v>
      </c>
      <c r="B111" s="14" t="s">
        <v>418</v>
      </c>
      <c r="C111" s="247">
        <f>154353+28400</f>
        <v>182753</v>
      </c>
      <c r="D111" s="50"/>
      <c r="E111" s="50"/>
      <c r="F111" s="50"/>
      <c r="G111" s="50"/>
      <c r="H111" s="50"/>
      <c r="I111" s="50"/>
      <c r="J111" s="123"/>
      <c r="K111" s="50"/>
      <c r="L111" s="50"/>
      <c r="M111" s="50"/>
      <c r="N111" s="50"/>
      <c r="O111" s="50"/>
      <c r="P111" s="120">
        <f t="shared" si="13"/>
        <v>182753</v>
      </c>
      <c r="Q111" s="170"/>
      <c r="R111" s="170"/>
      <c r="S111" s="186"/>
      <c r="T111" s="186"/>
    </row>
    <row r="112" spans="1:20" ht="15.75">
      <c r="A112" s="12" t="s">
        <v>334</v>
      </c>
      <c r="B112" s="202" t="s">
        <v>419</v>
      </c>
      <c r="C112" s="247">
        <f>335031+86876</f>
        <v>421907</v>
      </c>
      <c r="D112" s="50"/>
      <c r="E112" s="50"/>
      <c r="F112" s="50"/>
      <c r="G112" s="50"/>
      <c r="H112" s="50"/>
      <c r="I112" s="50"/>
      <c r="J112" s="123"/>
      <c r="K112" s="50"/>
      <c r="L112" s="50"/>
      <c r="M112" s="50"/>
      <c r="N112" s="50"/>
      <c r="O112" s="50"/>
      <c r="P112" s="120">
        <f t="shared" si="13"/>
        <v>421907</v>
      </c>
      <c r="Q112" s="170"/>
      <c r="R112" s="170"/>
      <c r="S112" s="180"/>
      <c r="T112" s="186"/>
    </row>
    <row r="113" spans="1:20" ht="15.75">
      <c r="A113" s="12" t="s">
        <v>355</v>
      </c>
      <c r="B113" s="202" t="s">
        <v>356</v>
      </c>
      <c r="C113" s="247"/>
      <c r="D113" s="50"/>
      <c r="E113" s="50"/>
      <c r="F113" s="50"/>
      <c r="G113" s="50">
        <v>5457</v>
      </c>
      <c r="H113" s="50"/>
      <c r="I113" s="50"/>
      <c r="J113" s="123"/>
      <c r="K113" s="50"/>
      <c r="L113" s="50"/>
      <c r="M113" s="50"/>
      <c r="N113" s="50"/>
      <c r="O113" s="50"/>
      <c r="P113" s="120">
        <f t="shared" si="13"/>
        <v>5457</v>
      </c>
      <c r="Q113" s="170"/>
      <c r="R113" s="170"/>
      <c r="S113" s="180"/>
      <c r="T113" s="186"/>
    </row>
    <row r="114" spans="1:20" ht="15">
      <c r="A114" s="12" t="s">
        <v>369</v>
      </c>
      <c r="B114" s="211" t="s">
        <v>370</v>
      </c>
      <c r="C114" s="247">
        <v>197917</v>
      </c>
      <c r="D114" s="50"/>
      <c r="E114" s="50"/>
      <c r="F114" s="50"/>
      <c r="G114" s="50"/>
      <c r="H114" s="50"/>
      <c r="I114" s="50"/>
      <c r="J114" s="123"/>
      <c r="K114" s="50"/>
      <c r="L114" s="50"/>
      <c r="M114" s="50"/>
      <c r="N114" s="50"/>
      <c r="O114" s="50"/>
      <c r="P114" s="120">
        <f t="shared" si="13"/>
        <v>197917</v>
      </c>
      <c r="Q114" s="170"/>
      <c r="R114" s="170"/>
      <c r="S114" s="180"/>
      <c r="T114" s="186"/>
    </row>
    <row r="115" spans="1:20" ht="45">
      <c r="A115" s="12" t="s">
        <v>374</v>
      </c>
      <c r="B115" s="211" t="s">
        <v>375</v>
      </c>
      <c r="C115" s="247">
        <v>34326</v>
      </c>
      <c r="D115" s="50"/>
      <c r="E115" s="50"/>
      <c r="F115" s="50"/>
      <c r="G115" s="50"/>
      <c r="H115" s="50"/>
      <c r="I115" s="50"/>
      <c r="J115" s="123"/>
      <c r="K115" s="50"/>
      <c r="L115" s="50"/>
      <c r="M115" s="50"/>
      <c r="N115" s="50"/>
      <c r="O115" s="50"/>
      <c r="P115" s="120">
        <f t="shared" si="13"/>
        <v>34326</v>
      </c>
      <c r="Q115" s="170"/>
      <c r="R115" s="170"/>
      <c r="S115" s="180"/>
      <c r="T115" s="186"/>
    </row>
    <row r="116" spans="1:20" ht="30">
      <c r="A116" s="12" t="s">
        <v>390</v>
      </c>
      <c r="B116" s="211" t="s">
        <v>393</v>
      </c>
      <c r="C116" s="20">
        <f>571265+4056</f>
        <v>575321</v>
      </c>
      <c r="D116" s="19"/>
      <c r="E116" s="19"/>
      <c r="F116" s="19"/>
      <c r="G116" s="19"/>
      <c r="H116" s="19"/>
      <c r="I116" s="19"/>
      <c r="J116" s="8"/>
      <c r="K116" s="19"/>
      <c r="L116" s="19"/>
      <c r="M116" s="19"/>
      <c r="N116" s="19"/>
      <c r="O116" s="50"/>
      <c r="P116" s="120">
        <f t="shared" si="13"/>
        <v>575321</v>
      </c>
      <c r="Q116" s="170"/>
      <c r="R116" s="170"/>
      <c r="S116" s="180"/>
      <c r="T116" s="186"/>
    </row>
    <row r="117" spans="1:20" ht="45">
      <c r="A117" s="12" t="s">
        <v>517</v>
      </c>
      <c r="B117" s="211" t="s">
        <v>518</v>
      </c>
      <c r="C117" s="20">
        <f>223143-212040</f>
        <v>11103</v>
      </c>
      <c r="D117" s="19"/>
      <c r="E117" s="19"/>
      <c r="F117" s="19"/>
      <c r="G117" s="19"/>
      <c r="H117" s="19"/>
      <c r="I117" s="19"/>
      <c r="J117" s="8"/>
      <c r="K117" s="19"/>
      <c r="L117" s="19"/>
      <c r="M117" s="19"/>
      <c r="N117" s="19"/>
      <c r="O117" s="50"/>
      <c r="P117" s="120">
        <f t="shared" si="13"/>
        <v>11103</v>
      </c>
      <c r="Q117" s="170"/>
      <c r="R117" s="170"/>
      <c r="S117" s="180"/>
      <c r="T117" s="186"/>
    </row>
    <row r="118" spans="1:20" ht="45">
      <c r="A118" s="12" t="s">
        <v>519</v>
      </c>
      <c r="B118" s="211" t="s">
        <v>520</v>
      </c>
      <c r="C118" s="20">
        <v>6050</v>
      </c>
      <c r="D118" s="19"/>
      <c r="E118" s="19"/>
      <c r="F118" s="19"/>
      <c r="G118" s="19"/>
      <c r="H118" s="19"/>
      <c r="I118" s="19"/>
      <c r="J118" s="8"/>
      <c r="K118" s="19"/>
      <c r="L118" s="19"/>
      <c r="M118" s="19"/>
      <c r="N118" s="19"/>
      <c r="O118" s="50"/>
      <c r="P118" s="120">
        <f t="shared" si="13"/>
        <v>6050</v>
      </c>
      <c r="Q118" s="170"/>
      <c r="R118" s="170"/>
      <c r="S118" s="180"/>
      <c r="T118" s="186"/>
    </row>
    <row r="119" spans="1:20" s="182" customFormat="1" ht="45">
      <c r="A119" s="12" t="s">
        <v>521</v>
      </c>
      <c r="B119" s="255" t="s">
        <v>522</v>
      </c>
      <c r="C119" s="20">
        <v>119760</v>
      </c>
      <c r="D119" s="19"/>
      <c r="E119" s="19"/>
      <c r="F119" s="19"/>
      <c r="G119" s="19"/>
      <c r="H119" s="19"/>
      <c r="I119" s="19"/>
      <c r="J119" s="8"/>
      <c r="K119" s="19"/>
      <c r="L119" s="19"/>
      <c r="M119" s="19"/>
      <c r="N119" s="19"/>
      <c r="O119" s="50"/>
      <c r="P119" s="120">
        <f t="shared" si="13"/>
        <v>119760</v>
      </c>
      <c r="Q119" s="170"/>
      <c r="R119" s="170"/>
      <c r="S119" s="180"/>
      <c r="T119" s="186"/>
    </row>
    <row r="120" spans="1:20" s="182" customFormat="1" ht="30">
      <c r="A120" s="12" t="s">
        <v>523</v>
      </c>
      <c r="B120" s="255" t="s">
        <v>524</v>
      </c>
      <c r="C120" s="20">
        <v>31460</v>
      </c>
      <c r="D120" s="19"/>
      <c r="E120" s="19"/>
      <c r="F120" s="19"/>
      <c r="G120" s="19"/>
      <c r="H120" s="19"/>
      <c r="I120" s="19"/>
      <c r="J120" s="8"/>
      <c r="K120" s="19"/>
      <c r="L120" s="19"/>
      <c r="M120" s="19"/>
      <c r="N120" s="19"/>
      <c r="O120" s="50"/>
      <c r="P120" s="120">
        <f t="shared" si="13"/>
        <v>31460</v>
      </c>
      <c r="Q120" s="170"/>
      <c r="R120" s="170"/>
      <c r="S120" s="199"/>
      <c r="T120" s="186"/>
    </row>
    <row r="121" spans="1:20" s="182" customFormat="1" ht="30">
      <c r="A121" s="12" t="s">
        <v>525</v>
      </c>
      <c r="B121" s="255" t="s">
        <v>526</v>
      </c>
      <c r="C121" s="20">
        <v>13000</v>
      </c>
      <c r="D121" s="19"/>
      <c r="E121" s="19"/>
      <c r="F121" s="19"/>
      <c r="G121" s="19"/>
      <c r="H121" s="19"/>
      <c r="I121" s="19"/>
      <c r="J121" s="8"/>
      <c r="K121" s="19"/>
      <c r="L121" s="19"/>
      <c r="M121" s="19"/>
      <c r="N121" s="19"/>
      <c r="O121" s="50"/>
      <c r="P121" s="120">
        <f t="shared" si="13"/>
        <v>13000</v>
      </c>
      <c r="Q121" s="170"/>
      <c r="R121" s="170"/>
      <c r="S121" s="199"/>
      <c r="T121" s="186"/>
    </row>
    <row r="122" spans="1:20" s="182" customFormat="1" ht="15">
      <c r="A122" s="12" t="s">
        <v>527</v>
      </c>
      <c r="B122" s="255" t="s">
        <v>528</v>
      </c>
      <c r="C122" s="20">
        <v>42043</v>
      </c>
      <c r="D122" s="19"/>
      <c r="E122" s="19"/>
      <c r="F122" s="19"/>
      <c r="G122" s="19"/>
      <c r="H122" s="19"/>
      <c r="I122" s="19"/>
      <c r="J122" s="8"/>
      <c r="K122" s="19"/>
      <c r="L122" s="19"/>
      <c r="M122" s="19"/>
      <c r="N122" s="19"/>
      <c r="O122" s="50"/>
      <c r="P122" s="120">
        <f t="shared" si="13"/>
        <v>42043</v>
      </c>
      <c r="Q122" s="170"/>
      <c r="R122" s="170"/>
      <c r="S122" s="199"/>
      <c r="T122" s="186"/>
    </row>
    <row r="123" spans="1:20" s="182" customFormat="1" ht="30">
      <c r="A123" s="12" t="s">
        <v>529</v>
      </c>
      <c r="B123" s="255" t="s">
        <v>530</v>
      </c>
      <c r="C123" s="20">
        <v>114200</v>
      </c>
      <c r="D123" s="19"/>
      <c r="E123" s="19"/>
      <c r="F123" s="19"/>
      <c r="G123" s="19"/>
      <c r="H123" s="19"/>
      <c r="I123" s="19"/>
      <c r="J123" s="8"/>
      <c r="K123" s="19"/>
      <c r="L123" s="19"/>
      <c r="M123" s="19"/>
      <c r="N123" s="19"/>
      <c r="O123" s="50"/>
      <c r="P123" s="120">
        <f t="shared" si="13"/>
        <v>114200</v>
      </c>
      <c r="Q123" s="170"/>
      <c r="R123" s="170"/>
      <c r="S123" s="199"/>
      <c r="T123" s="186"/>
    </row>
    <row r="124" spans="1:20" s="182" customFormat="1" ht="15.75" thickBot="1">
      <c r="A124" s="227" t="s">
        <v>531</v>
      </c>
      <c r="B124" s="17" t="s">
        <v>532</v>
      </c>
      <c r="C124" s="20">
        <v>14600</v>
      </c>
      <c r="D124" s="19"/>
      <c r="E124" s="19"/>
      <c r="F124" s="19"/>
      <c r="G124" s="19"/>
      <c r="H124" s="19"/>
      <c r="I124" s="19"/>
      <c r="J124" s="8"/>
      <c r="K124" s="19"/>
      <c r="L124" s="19"/>
      <c r="M124" s="19"/>
      <c r="N124" s="19"/>
      <c r="O124" s="50"/>
      <c r="P124" s="120">
        <f t="shared" si="13"/>
        <v>14600</v>
      </c>
      <c r="Q124" s="170"/>
      <c r="R124" s="170"/>
      <c r="S124" s="199"/>
      <c r="T124" s="186"/>
    </row>
    <row r="125" spans="1:20" s="182" customFormat="1" ht="15.75" thickBot="1">
      <c r="A125" s="74" t="s">
        <v>4</v>
      </c>
      <c r="B125" s="41" t="s">
        <v>80</v>
      </c>
      <c r="C125" s="43">
        <f aca="true" t="shared" si="18" ref="C125:P125">SUM(C126,C128:C131)</f>
        <v>532948</v>
      </c>
      <c r="D125" s="43">
        <f t="shared" si="18"/>
        <v>0</v>
      </c>
      <c r="E125" s="43">
        <f t="shared" si="18"/>
        <v>0</v>
      </c>
      <c r="F125" s="43">
        <f t="shared" si="18"/>
        <v>0</v>
      </c>
      <c r="G125" s="43">
        <f t="shared" si="18"/>
        <v>3199</v>
      </c>
      <c r="H125" s="43">
        <f t="shared" si="18"/>
        <v>0</v>
      </c>
      <c r="I125" s="43">
        <f t="shared" si="18"/>
        <v>0</v>
      </c>
      <c r="J125" s="43">
        <f t="shared" si="18"/>
        <v>0</v>
      </c>
      <c r="K125" s="43">
        <f t="shared" si="18"/>
        <v>6523</v>
      </c>
      <c r="L125" s="43">
        <f t="shared" si="18"/>
        <v>30143</v>
      </c>
      <c r="M125" s="43">
        <f t="shared" si="18"/>
        <v>300</v>
      </c>
      <c r="N125" s="43">
        <f t="shared" si="18"/>
        <v>2640</v>
      </c>
      <c r="O125" s="43">
        <f t="shared" si="18"/>
        <v>0</v>
      </c>
      <c r="P125" s="44">
        <f t="shared" si="18"/>
        <v>575753</v>
      </c>
      <c r="Q125" s="170"/>
      <c r="R125" s="170"/>
      <c r="S125" s="199"/>
      <c r="T125" s="186"/>
    </row>
    <row r="126" spans="1:20" ht="15">
      <c r="A126" s="112" t="s">
        <v>81</v>
      </c>
      <c r="B126" s="113" t="s">
        <v>82</v>
      </c>
      <c r="C126" s="241">
        <f>SUM(C127:C127)</f>
        <v>18890</v>
      </c>
      <c r="D126" s="114">
        <f aca="true" t="shared" si="19" ref="D126:O126">SUM(D127:D127)</f>
        <v>0</v>
      </c>
      <c r="E126" s="114">
        <f t="shared" si="19"/>
        <v>0</v>
      </c>
      <c r="F126" s="114">
        <f t="shared" si="19"/>
        <v>0</v>
      </c>
      <c r="G126" s="114">
        <f>SUM(G127:G127)</f>
        <v>3199</v>
      </c>
      <c r="H126" s="114">
        <f t="shared" si="19"/>
        <v>0</v>
      </c>
      <c r="I126" s="114">
        <f t="shared" si="19"/>
        <v>0</v>
      </c>
      <c r="J126" s="114">
        <f t="shared" si="19"/>
        <v>0</v>
      </c>
      <c r="K126" s="114">
        <f t="shared" si="19"/>
        <v>6523</v>
      </c>
      <c r="L126" s="114">
        <f t="shared" si="19"/>
        <v>30143</v>
      </c>
      <c r="M126" s="114">
        <f t="shared" si="19"/>
        <v>300</v>
      </c>
      <c r="N126" s="114">
        <f t="shared" si="19"/>
        <v>2640</v>
      </c>
      <c r="O126" s="114">
        <f t="shared" si="19"/>
        <v>0</v>
      </c>
      <c r="P126" s="48">
        <f aca="true" t="shared" si="20" ref="P126:P188">SUM(C126:O126)</f>
        <v>61695</v>
      </c>
      <c r="Q126" s="170"/>
      <c r="R126" s="170"/>
      <c r="S126" s="180"/>
      <c r="T126" s="186"/>
    </row>
    <row r="127" spans="1:20" s="182" customFormat="1" ht="30" customHeight="1">
      <c r="A127" s="49" t="s">
        <v>274</v>
      </c>
      <c r="B127" s="24" t="s">
        <v>533</v>
      </c>
      <c r="C127" s="242">
        <v>18890</v>
      </c>
      <c r="D127" s="114"/>
      <c r="E127" s="114"/>
      <c r="F127" s="114"/>
      <c r="G127" s="80">
        <v>3199</v>
      </c>
      <c r="H127" s="114"/>
      <c r="I127" s="114"/>
      <c r="J127" s="114"/>
      <c r="K127" s="80">
        <v>6523</v>
      </c>
      <c r="L127" s="114">
        <v>30143</v>
      </c>
      <c r="M127" s="31">
        <v>300</v>
      </c>
      <c r="N127" s="69">
        <v>2640</v>
      </c>
      <c r="O127" s="50"/>
      <c r="P127" s="120">
        <f t="shared" si="20"/>
        <v>61695</v>
      </c>
      <c r="Q127" s="170"/>
      <c r="R127" s="170"/>
      <c r="S127" s="199"/>
      <c r="T127" s="186"/>
    </row>
    <row r="128" spans="1:20" ht="30">
      <c r="A128" s="227" t="s">
        <v>261</v>
      </c>
      <c r="B128" s="10" t="s">
        <v>534</v>
      </c>
      <c r="C128" s="242">
        <v>190265</v>
      </c>
      <c r="D128" s="114"/>
      <c r="E128" s="114"/>
      <c r="F128" s="114"/>
      <c r="G128" s="80"/>
      <c r="H128" s="114"/>
      <c r="I128" s="114"/>
      <c r="J128" s="114"/>
      <c r="K128" s="80"/>
      <c r="L128" s="114"/>
      <c r="M128" s="31"/>
      <c r="N128" s="69"/>
      <c r="O128" s="50"/>
      <c r="P128" s="120">
        <f t="shared" si="20"/>
        <v>190265</v>
      </c>
      <c r="Q128" s="170"/>
      <c r="R128" s="170"/>
      <c r="S128" s="186"/>
      <c r="T128" s="186"/>
    </row>
    <row r="129" spans="1:20" ht="15">
      <c r="A129" s="227" t="s">
        <v>302</v>
      </c>
      <c r="B129" s="10" t="s">
        <v>535</v>
      </c>
      <c r="C129" s="247">
        <v>21151</v>
      </c>
      <c r="D129" s="19"/>
      <c r="E129" s="50"/>
      <c r="F129" s="50"/>
      <c r="G129" s="19"/>
      <c r="H129" s="19"/>
      <c r="I129" s="19"/>
      <c r="J129" s="19"/>
      <c r="K129" s="19"/>
      <c r="L129" s="19"/>
      <c r="M129" s="19"/>
      <c r="N129" s="50"/>
      <c r="O129" s="50"/>
      <c r="P129" s="120">
        <f t="shared" si="20"/>
        <v>21151</v>
      </c>
      <c r="Q129" s="170"/>
      <c r="R129" s="170"/>
      <c r="S129" s="180"/>
      <c r="T129" s="186"/>
    </row>
    <row r="130" spans="1:20" ht="75">
      <c r="A130" s="227" t="s">
        <v>536</v>
      </c>
      <c r="B130" s="10" t="s">
        <v>537</v>
      </c>
      <c r="C130" s="247">
        <v>106025</v>
      </c>
      <c r="D130" s="19"/>
      <c r="E130" s="50"/>
      <c r="F130" s="50"/>
      <c r="G130" s="19"/>
      <c r="H130" s="19"/>
      <c r="I130" s="19"/>
      <c r="J130" s="19"/>
      <c r="K130" s="19"/>
      <c r="L130" s="19"/>
      <c r="M130" s="19"/>
      <c r="N130" s="50"/>
      <c r="O130" s="50"/>
      <c r="P130" s="120">
        <f t="shared" si="20"/>
        <v>106025</v>
      </c>
      <c r="Q130" s="170"/>
      <c r="R130" s="170"/>
      <c r="S130" s="180"/>
      <c r="T130" s="186"/>
    </row>
    <row r="131" spans="1:20" ht="45.75" thickBot="1">
      <c r="A131" s="227" t="s">
        <v>538</v>
      </c>
      <c r="B131" s="10" t="s">
        <v>539</v>
      </c>
      <c r="C131" s="247">
        <v>196617</v>
      </c>
      <c r="D131" s="19"/>
      <c r="E131" s="50"/>
      <c r="F131" s="50"/>
      <c r="G131" s="19"/>
      <c r="H131" s="19"/>
      <c r="I131" s="19"/>
      <c r="J131" s="19"/>
      <c r="K131" s="19"/>
      <c r="L131" s="19"/>
      <c r="M131" s="19"/>
      <c r="N131" s="50"/>
      <c r="O131" s="50"/>
      <c r="P131" s="120">
        <f t="shared" si="20"/>
        <v>196617</v>
      </c>
      <c r="Q131" s="170"/>
      <c r="R131" s="170"/>
      <c r="S131" s="180"/>
      <c r="T131" s="186"/>
    </row>
    <row r="132" spans="1:20" ht="15.75" thickBot="1">
      <c r="A132" s="74" t="s">
        <v>6</v>
      </c>
      <c r="B132" s="41" t="s">
        <v>83</v>
      </c>
      <c r="C132" s="43">
        <f>C133+C137+C179+C182+C183</f>
        <v>7236535</v>
      </c>
      <c r="D132" s="43">
        <f aca="true" t="shared" si="21" ref="D132:O132">D133+D137+D179+D182+D183</f>
        <v>318828</v>
      </c>
      <c r="E132" s="43">
        <f t="shared" si="21"/>
        <v>1688067</v>
      </c>
      <c r="F132" s="43">
        <f t="shared" si="21"/>
        <v>0</v>
      </c>
      <c r="G132" s="43">
        <f t="shared" si="21"/>
        <v>212625</v>
      </c>
      <c r="H132" s="43">
        <f t="shared" si="21"/>
        <v>108202</v>
      </c>
      <c r="I132" s="43">
        <f t="shared" si="21"/>
        <v>118940</v>
      </c>
      <c r="J132" s="43">
        <f t="shared" si="21"/>
        <v>201190</v>
      </c>
      <c r="K132" s="43">
        <f t="shared" si="21"/>
        <v>49922</v>
      </c>
      <c r="L132" s="43">
        <f t="shared" si="21"/>
        <v>37461</v>
      </c>
      <c r="M132" s="43">
        <f t="shared" si="21"/>
        <v>93508</v>
      </c>
      <c r="N132" s="43">
        <f t="shared" si="21"/>
        <v>56446</v>
      </c>
      <c r="O132" s="43">
        <f t="shared" si="21"/>
        <v>0</v>
      </c>
      <c r="P132" s="44">
        <f t="shared" si="20"/>
        <v>10121724</v>
      </c>
      <c r="Q132" s="170"/>
      <c r="R132" s="170"/>
      <c r="S132" s="180"/>
      <c r="T132" s="186"/>
    </row>
    <row r="133" spans="1:20" ht="15">
      <c r="A133" s="112" t="s">
        <v>84</v>
      </c>
      <c r="B133" s="113" t="s">
        <v>85</v>
      </c>
      <c r="C133" s="114">
        <f>SUM(C134:C136)</f>
        <v>846205</v>
      </c>
      <c r="D133" s="114">
        <f aca="true" t="shared" si="22" ref="D133:O133">SUM(D134:D136)</f>
        <v>318828</v>
      </c>
      <c r="E133" s="114">
        <f t="shared" si="22"/>
        <v>0</v>
      </c>
      <c r="F133" s="114">
        <f t="shared" si="22"/>
        <v>0</v>
      </c>
      <c r="G133" s="114">
        <f t="shared" si="22"/>
        <v>2500</v>
      </c>
      <c r="H133" s="114">
        <f t="shared" si="22"/>
        <v>0</v>
      </c>
      <c r="I133" s="114">
        <f t="shared" si="22"/>
        <v>0</v>
      </c>
      <c r="J133" s="114">
        <f t="shared" si="22"/>
        <v>3610</v>
      </c>
      <c r="K133" s="114">
        <f t="shared" si="22"/>
        <v>0</v>
      </c>
      <c r="L133" s="114">
        <f t="shared" si="22"/>
        <v>0</v>
      </c>
      <c r="M133" s="114">
        <f t="shared" si="22"/>
        <v>13007</v>
      </c>
      <c r="N133" s="114">
        <f t="shared" si="22"/>
        <v>0</v>
      </c>
      <c r="O133" s="114">
        <f t="shared" si="22"/>
        <v>0</v>
      </c>
      <c r="P133" s="117">
        <f t="shared" si="20"/>
        <v>1184150</v>
      </c>
      <c r="Q133" s="170"/>
      <c r="R133" s="170"/>
      <c r="S133" s="180"/>
      <c r="T133" s="186"/>
    </row>
    <row r="134" spans="1:20" ht="15">
      <c r="A134" s="49" t="s">
        <v>191</v>
      </c>
      <c r="B134" s="24" t="s">
        <v>680</v>
      </c>
      <c r="C134" s="123">
        <f>137448+22000-531</f>
        <v>158917</v>
      </c>
      <c r="D134" s="19"/>
      <c r="E134" s="50"/>
      <c r="F134" s="50"/>
      <c r="G134" s="19">
        <v>2500</v>
      </c>
      <c r="H134" s="19"/>
      <c r="I134" s="19"/>
      <c r="J134" s="19">
        <v>3610</v>
      </c>
      <c r="K134" s="19"/>
      <c r="L134" s="19"/>
      <c r="M134" s="19">
        <v>13007</v>
      </c>
      <c r="N134" s="50"/>
      <c r="O134" s="50"/>
      <c r="P134" s="120">
        <f t="shared" si="20"/>
        <v>178034</v>
      </c>
      <c r="Q134" s="170"/>
      <c r="R134" s="170"/>
      <c r="S134" s="180"/>
      <c r="T134" s="186"/>
    </row>
    <row r="135" spans="1:20" ht="30">
      <c r="A135" s="49" t="s">
        <v>192</v>
      </c>
      <c r="B135" s="24" t="s">
        <v>681</v>
      </c>
      <c r="C135" s="123">
        <f>527727+159561</f>
        <v>687288</v>
      </c>
      <c r="D135" s="19"/>
      <c r="E135" s="50"/>
      <c r="F135" s="50"/>
      <c r="G135" s="19"/>
      <c r="H135" s="19"/>
      <c r="I135" s="19"/>
      <c r="J135" s="19"/>
      <c r="K135" s="19"/>
      <c r="L135" s="19"/>
      <c r="M135" s="19"/>
      <c r="N135" s="50"/>
      <c r="O135" s="50"/>
      <c r="P135" s="120">
        <f t="shared" si="20"/>
        <v>687288</v>
      </c>
      <c r="Q135" s="170"/>
      <c r="R135" s="170"/>
      <c r="S135" s="180"/>
      <c r="T135" s="186"/>
    </row>
    <row r="136" spans="1:20" ht="15">
      <c r="A136" s="49" t="s">
        <v>252</v>
      </c>
      <c r="B136" s="24" t="s">
        <v>540</v>
      </c>
      <c r="C136" s="50"/>
      <c r="D136" s="50">
        <v>318828</v>
      </c>
      <c r="E136" s="50"/>
      <c r="F136" s="50"/>
      <c r="G136" s="19"/>
      <c r="H136" s="50"/>
      <c r="I136" s="50"/>
      <c r="J136" s="50"/>
      <c r="K136" s="50"/>
      <c r="L136" s="50"/>
      <c r="M136" s="50"/>
      <c r="N136" s="50"/>
      <c r="O136" s="50"/>
      <c r="P136" s="120">
        <f t="shared" si="20"/>
        <v>318828</v>
      </c>
      <c r="Q136" s="170"/>
      <c r="R136" s="170"/>
      <c r="S136" s="180"/>
      <c r="T136" s="186"/>
    </row>
    <row r="137" spans="1:20" ht="15">
      <c r="A137" s="119" t="s">
        <v>86</v>
      </c>
      <c r="B137" s="121" t="s">
        <v>5</v>
      </c>
      <c r="C137" s="85">
        <f>SUM(C138+C148+C154+C165)</f>
        <v>6120547</v>
      </c>
      <c r="D137" s="85">
        <f aca="true" t="shared" si="23" ref="D137:O137">SUM(D138+D148+D154+D165)</f>
        <v>0</v>
      </c>
      <c r="E137" s="85">
        <f t="shared" si="23"/>
        <v>1688067</v>
      </c>
      <c r="F137" s="85">
        <f t="shared" si="23"/>
        <v>0</v>
      </c>
      <c r="G137" s="85">
        <f t="shared" si="23"/>
        <v>210125</v>
      </c>
      <c r="H137" s="85">
        <f t="shared" si="23"/>
        <v>108202</v>
      </c>
      <c r="I137" s="85">
        <f t="shared" si="23"/>
        <v>115344</v>
      </c>
      <c r="J137" s="85">
        <f t="shared" si="23"/>
        <v>195830</v>
      </c>
      <c r="K137" s="85">
        <f t="shared" si="23"/>
        <v>49922</v>
      </c>
      <c r="L137" s="85">
        <f t="shared" si="23"/>
        <v>37461</v>
      </c>
      <c r="M137" s="85">
        <f t="shared" si="23"/>
        <v>80501</v>
      </c>
      <c r="N137" s="85">
        <f t="shared" si="23"/>
        <v>56446</v>
      </c>
      <c r="O137" s="85">
        <f t="shared" si="23"/>
        <v>0</v>
      </c>
      <c r="P137" s="120">
        <f t="shared" si="20"/>
        <v>8662445</v>
      </c>
      <c r="Q137" s="170"/>
      <c r="R137" s="170"/>
      <c r="S137" s="180"/>
      <c r="T137" s="186"/>
    </row>
    <row r="138" spans="1:20" ht="15">
      <c r="A138" s="256" t="s">
        <v>541</v>
      </c>
      <c r="B138" s="24" t="s">
        <v>127</v>
      </c>
      <c r="C138" s="50">
        <f>SUM(C139:C147)</f>
        <v>1161512</v>
      </c>
      <c r="D138" s="50">
        <f>SUM(D139:D147)</f>
        <v>0</v>
      </c>
      <c r="E138" s="50">
        <f>SUM(E139:E147)</f>
        <v>0</v>
      </c>
      <c r="F138" s="50">
        <f>SUM(F139:F147)</f>
        <v>0</v>
      </c>
      <c r="G138" s="50">
        <f>SUM(G139:G147)</f>
        <v>32192</v>
      </c>
      <c r="H138" s="50">
        <f aca="true" t="shared" si="24" ref="H138:O138">SUM(H139:H147)</f>
        <v>28316</v>
      </c>
      <c r="I138" s="50">
        <f t="shared" si="24"/>
        <v>14742</v>
      </c>
      <c r="J138" s="50">
        <f t="shared" si="24"/>
        <v>35729</v>
      </c>
      <c r="K138" s="50">
        <f t="shared" si="24"/>
        <v>19989</v>
      </c>
      <c r="L138" s="50">
        <f t="shared" si="24"/>
        <v>16523</v>
      </c>
      <c r="M138" s="50">
        <f t="shared" si="24"/>
        <v>20270</v>
      </c>
      <c r="N138" s="50">
        <f t="shared" si="24"/>
        <v>17069</v>
      </c>
      <c r="O138" s="50">
        <f t="shared" si="24"/>
        <v>0</v>
      </c>
      <c r="P138" s="120">
        <f t="shared" si="20"/>
        <v>1346342</v>
      </c>
      <c r="Q138" s="170"/>
      <c r="R138" s="170"/>
      <c r="S138" s="180"/>
      <c r="T138" s="186"/>
    </row>
    <row r="139" spans="1:20" ht="15">
      <c r="A139" s="257" t="s">
        <v>287</v>
      </c>
      <c r="B139" s="258" t="s">
        <v>542</v>
      </c>
      <c r="C139" s="50">
        <f>611444+47665+21000</f>
        <v>680109</v>
      </c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120">
        <f t="shared" si="20"/>
        <v>680109</v>
      </c>
      <c r="Q139" s="170"/>
      <c r="R139" s="170"/>
      <c r="S139" s="180"/>
      <c r="T139" s="186"/>
    </row>
    <row r="140" spans="1:20" ht="15">
      <c r="A140" s="257" t="s">
        <v>543</v>
      </c>
      <c r="B140" s="258" t="s">
        <v>544</v>
      </c>
      <c r="C140" s="245"/>
      <c r="D140" s="50"/>
      <c r="E140" s="50"/>
      <c r="F140" s="50"/>
      <c r="G140" s="207">
        <v>32192</v>
      </c>
      <c r="H140" s="19">
        <v>28316</v>
      </c>
      <c r="I140" s="19">
        <v>14742</v>
      </c>
      <c r="J140" s="19">
        <v>35729</v>
      </c>
      <c r="K140" s="19">
        <v>19989</v>
      </c>
      <c r="L140" s="19">
        <v>16523</v>
      </c>
      <c r="M140" s="201">
        <v>20270</v>
      </c>
      <c r="N140" s="19">
        <v>17069</v>
      </c>
      <c r="O140" s="50"/>
      <c r="P140" s="120">
        <f t="shared" si="20"/>
        <v>184830</v>
      </c>
      <c r="Q140" s="170"/>
      <c r="R140" s="170"/>
      <c r="S140" s="180"/>
      <c r="T140" s="186"/>
    </row>
    <row r="141" spans="1:20" ht="15">
      <c r="A141" s="257" t="s">
        <v>545</v>
      </c>
      <c r="B141" s="24" t="s">
        <v>546</v>
      </c>
      <c r="C141" s="50">
        <f>118497+3980+240</f>
        <v>122717</v>
      </c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120">
        <f t="shared" si="20"/>
        <v>122717</v>
      </c>
      <c r="Q141" s="170"/>
      <c r="R141" s="170"/>
      <c r="S141" s="180"/>
      <c r="T141" s="186"/>
    </row>
    <row r="142" spans="1:20" ht="15">
      <c r="A142" s="257" t="s">
        <v>547</v>
      </c>
      <c r="B142" s="24" t="s">
        <v>548</v>
      </c>
      <c r="C142" s="50">
        <f>26813+3980</f>
        <v>30793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120">
        <f t="shared" si="20"/>
        <v>30793</v>
      </c>
      <c r="Q142" s="170"/>
      <c r="R142" s="170"/>
      <c r="S142" s="180"/>
      <c r="T142" s="186"/>
    </row>
    <row r="143" spans="1:20" ht="17.25" customHeight="1">
      <c r="A143" s="257" t="s">
        <v>549</v>
      </c>
      <c r="B143" s="24" t="s">
        <v>550</v>
      </c>
      <c r="C143" s="50">
        <f>108587+3980+728+618</f>
        <v>113913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120">
        <f t="shared" si="20"/>
        <v>113913</v>
      </c>
      <c r="Q143" s="170"/>
      <c r="R143" s="170"/>
      <c r="S143" s="180"/>
      <c r="T143" s="186"/>
    </row>
    <row r="144" spans="1:20" ht="15">
      <c r="A144" s="257" t="s">
        <v>551</v>
      </c>
      <c r="B144" s="24" t="s">
        <v>552</v>
      </c>
      <c r="C144" s="50">
        <f>25636</f>
        <v>25636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120">
        <f t="shared" si="20"/>
        <v>25636</v>
      </c>
      <c r="Q144" s="170"/>
      <c r="R144" s="170"/>
      <c r="S144" s="180"/>
      <c r="T144" s="186"/>
    </row>
    <row r="145" spans="1:20" ht="15">
      <c r="A145" s="257" t="s">
        <v>553</v>
      </c>
      <c r="B145" s="24" t="s">
        <v>554</v>
      </c>
      <c r="C145" s="123">
        <v>22437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120">
        <f t="shared" si="20"/>
        <v>22437</v>
      </c>
      <c r="Q145" s="170"/>
      <c r="R145" s="170"/>
      <c r="S145" s="180"/>
      <c r="T145" s="186"/>
    </row>
    <row r="146" spans="1:20" ht="15">
      <c r="A146" s="257" t="s">
        <v>555</v>
      </c>
      <c r="B146" s="24" t="s">
        <v>556</v>
      </c>
      <c r="C146" s="123">
        <v>36225</v>
      </c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120">
        <f t="shared" si="20"/>
        <v>36225</v>
      </c>
      <c r="Q146" s="170"/>
      <c r="R146" s="170"/>
      <c r="S146" s="180"/>
      <c r="T146" s="186"/>
    </row>
    <row r="147" spans="1:20" ht="15">
      <c r="A147" s="257" t="s">
        <v>557</v>
      </c>
      <c r="B147" s="24" t="s">
        <v>558</v>
      </c>
      <c r="C147" s="123">
        <f>128842+840</f>
        <v>129682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120">
        <f t="shared" si="20"/>
        <v>129682</v>
      </c>
      <c r="Q147" s="170"/>
      <c r="R147" s="170"/>
      <c r="S147" s="180"/>
      <c r="T147" s="186"/>
    </row>
    <row r="148" spans="1:20" ht="15">
      <c r="A148" s="51" t="s">
        <v>312</v>
      </c>
      <c r="B148" s="24" t="s">
        <v>113</v>
      </c>
      <c r="C148" s="50">
        <f>SUM(C149:C153)</f>
        <v>357921</v>
      </c>
      <c r="D148" s="50">
        <f aca="true" t="shared" si="25" ref="D148:O148">SUM(D149:D153)</f>
        <v>0</v>
      </c>
      <c r="E148" s="50">
        <f t="shared" si="25"/>
        <v>0</v>
      </c>
      <c r="F148" s="50">
        <f t="shared" si="25"/>
        <v>0</v>
      </c>
      <c r="G148" s="50">
        <f t="shared" si="25"/>
        <v>0</v>
      </c>
      <c r="H148" s="50">
        <f t="shared" si="25"/>
        <v>0</v>
      </c>
      <c r="I148" s="50">
        <f t="shared" si="25"/>
        <v>0</v>
      </c>
      <c r="J148" s="50">
        <f t="shared" si="25"/>
        <v>0</v>
      </c>
      <c r="K148" s="50">
        <f t="shared" si="25"/>
        <v>0</v>
      </c>
      <c r="L148" s="50">
        <f t="shared" si="25"/>
        <v>0</v>
      </c>
      <c r="M148" s="50">
        <f t="shared" si="25"/>
        <v>17363</v>
      </c>
      <c r="N148" s="50">
        <f t="shared" si="25"/>
        <v>0</v>
      </c>
      <c r="O148" s="50">
        <f t="shared" si="25"/>
        <v>0</v>
      </c>
      <c r="P148" s="120">
        <f t="shared" si="20"/>
        <v>375284</v>
      </c>
      <c r="Q148" s="170"/>
      <c r="R148" s="170"/>
      <c r="S148" s="180"/>
      <c r="T148" s="186"/>
    </row>
    <row r="149" spans="1:20" ht="15">
      <c r="A149" s="259" t="s">
        <v>193</v>
      </c>
      <c r="B149" s="24" t="s">
        <v>559</v>
      </c>
      <c r="C149" s="50">
        <f>207984+1000+4800</f>
        <v>213784</v>
      </c>
      <c r="D149" s="19"/>
      <c r="E149" s="50"/>
      <c r="F149" s="50"/>
      <c r="G149" s="19"/>
      <c r="H149" s="19"/>
      <c r="I149" s="19"/>
      <c r="J149" s="19"/>
      <c r="K149" s="19"/>
      <c r="L149" s="19"/>
      <c r="M149" s="19"/>
      <c r="N149" s="54"/>
      <c r="O149" s="50"/>
      <c r="P149" s="120">
        <f t="shared" si="20"/>
        <v>213784</v>
      </c>
      <c r="Q149" s="170"/>
      <c r="R149" s="170"/>
      <c r="S149" s="180"/>
      <c r="T149" s="186"/>
    </row>
    <row r="150" spans="1:20" ht="15">
      <c r="A150" s="259" t="s">
        <v>292</v>
      </c>
      <c r="B150" s="33" t="s">
        <v>560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19">
        <v>17363</v>
      </c>
      <c r="N150" s="54"/>
      <c r="O150" s="50"/>
      <c r="P150" s="120">
        <f t="shared" si="20"/>
        <v>17363</v>
      </c>
      <c r="Q150" s="170"/>
      <c r="R150" s="170"/>
      <c r="S150" s="180"/>
      <c r="T150" s="186"/>
    </row>
    <row r="151" spans="1:20" ht="15">
      <c r="A151" s="259" t="s">
        <v>561</v>
      </c>
      <c r="B151" s="33" t="s">
        <v>562</v>
      </c>
      <c r="C151" s="50">
        <v>103035</v>
      </c>
      <c r="D151" s="50"/>
      <c r="E151" s="50"/>
      <c r="F151" s="50"/>
      <c r="G151" s="50"/>
      <c r="H151" s="50"/>
      <c r="I151" s="50"/>
      <c r="J151" s="50"/>
      <c r="K151" s="50"/>
      <c r="L151" s="50"/>
      <c r="M151" s="19"/>
      <c r="N151" s="54"/>
      <c r="O151" s="50"/>
      <c r="P151" s="120">
        <f t="shared" si="20"/>
        <v>103035</v>
      </c>
      <c r="Q151" s="170"/>
      <c r="R151" s="170"/>
      <c r="S151" s="180"/>
      <c r="T151" s="186"/>
    </row>
    <row r="152" spans="1:20" ht="15">
      <c r="A152" s="257" t="s">
        <v>563</v>
      </c>
      <c r="B152" s="33" t="s">
        <v>377</v>
      </c>
      <c r="C152" s="50">
        <v>20002</v>
      </c>
      <c r="D152" s="50"/>
      <c r="E152" s="50"/>
      <c r="F152" s="50"/>
      <c r="G152" s="50"/>
      <c r="H152" s="50"/>
      <c r="I152" s="50"/>
      <c r="J152" s="50"/>
      <c r="K152" s="50"/>
      <c r="L152" s="50"/>
      <c r="M152" s="19"/>
      <c r="N152" s="54"/>
      <c r="O152" s="50"/>
      <c r="P152" s="120">
        <f t="shared" si="20"/>
        <v>20002</v>
      </c>
      <c r="Q152" s="170"/>
      <c r="R152" s="170"/>
      <c r="S152" s="180"/>
      <c r="T152" s="186"/>
    </row>
    <row r="153" spans="1:20" ht="15">
      <c r="A153" s="257" t="s">
        <v>564</v>
      </c>
      <c r="B153" s="4" t="s">
        <v>565</v>
      </c>
      <c r="C153" s="123">
        <v>21100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4"/>
      <c r="O153" s="50"/>
      <c r="P153" s="120">
        <f t="shared" si="20"/>
        <v>21100</v>
      </c>
      <c r="Q153" s="170"/>
      <c r="R153" s="170"/>
      <c r="S153" s="180"/>
      <c r="T153" s="186"/>
    </row>
    <row r="154" spans="1:20" ht="15">
      <c r="A154" s="51" t="s">
        <v>87</v>
      </c>
      <c r="B154" s="24" t="s">
        <v>313</v>
      </c>
      <c r="C154" s="50">
        <f>SUM(C155:C164)</f>
        <v>1785298</v>
      </c>
      <c r="D154" s="50">
        <f aca="true" t="shared" si="26" ref="D154:O154">SUM(D155:D164)</f>
        <v>0</v>
      </c>
      <c r="E154" s="50">
        <f t="shared" si="26"/>
        <v>1688067</v>
      </c>
      <c r="F154" s="50">
        <f t="shared" si="26"/>
        <v>0</v>
      </c>
      <c r="G154" s="50">
        <f t="shared" si="26"/>
        <v>177933</v>
      </c>
      <c r="H154" s="50">
        <f t="shared" si="26"/>
        <v>79886</v>
      </c>
      <c r="I154" s="50">
        <f t="shared" si="26"/>
        <v>99030</v>
      </c>
      <c r="J154" s="50">
        <f t="shared" si="26"/>
        <v>160101</v>
      </c>
      <c r="K154" s="50">
        <f t="shared" si="26"/>
        <v>29933</v>
      </c>
      <c r="L154" s="50">
        <f t="shared" si="26"/>
        <v>20938</v>
      </c>
      <c r="M154" s="50">
        <f t="shared" si="26"/>
        <v>42868</v>
      </c>
      <c r="N154" s="50">
        <f t="shared" si="26"/>
        <v>31877</v>
      </c>
      <c r="O154" s="50">
        <f t="shared" si="26"/>
        <v>0</v>
      </c>
      <c r="P154" s="120">
        <f t="shared" si="20"/>
        <v>4115931</v>
      </c>
      <c r="Q154" s="170"/>
      <c r="R154" s="170"/>
      <c r="S154" s="180"/>
      <c r="T154" s="186"/>
    </row>
    <row r="155" spans="1:20" ht="15">
      <c r="A155" s="259" t="s">
        <v>262</v>
      </c>
      <c r="B155" s="24" t="s">
        <v>566</v>
      </c>
      <c r="C155" s="50"/>
      <c r="D155" s="19"/>
      <c r="E155" s="50">
        <f>360198+12216</f>
        <v>372414</v>
      </c>
      <c r="F155" s="50"/>
      <c r="G155" s="207">
        <v>177933</v>
      </c>
      <c r="H155" s="19">
        <v>79886</v>
      </c>
      <c r="I155" s="19">
        <v>77985</v>
      </c>
      <c r="J155" s="19">
        <f>154601+5500</f>
        <v>160101</v>
      </c>
      <c r="K155" s="19">
        <v>29933</v>
      </c>
      <c r="L155" s="19">
        <v>20938</v>
      </c>
      <c r="M155" s="201">
        <v>42868</v>
      </c>
      <c r="N155" s="54">
        <v>31877</v>
      </c>
      <c r="O155" s="50"/>
      <c r="P155" s="120">
        <f t="shared" si="20"/>
        <v>993935</v>
      </c>
      <c r="Q155" s="170"/>
      <c r="R155" s="170"/>
      <c r="S155" s="180"/>
      <c r="T155" s="186"/>
    </row>
    <row r="156" spans="1:20" ht="15">
      <c r="A156" s="259" t="s">
        <v>567</v>
      </c>
      <c r="B156" s="24" t="s">
        <v>568</v>
      </c>
      <c r="C156" s="50"/>
      <c r="D156" s="19"/>
      <c r="E156" s="123">
        <f>1286653+29000</f>
        <v>1315653</v>
      </c>
      <c r="F156" s="50"/>
      <c r="G156" s="19"/>
      <c r="H156" s="19"/>
      <c r="I156" s="19"/>
      <c r="J156" s="19"/>
      <c r="K156" s="19"/>
      <c r="L156" s="19"/>
      <c r="M156" s="19"/>
      <c r="N156" s="50"/>
      <c r="O156" s="50"/>
      <c r="P156" s="120">
        <f t="shared" si="20"/>
        <v>1315653</v>
      </c>
      <c r="Q156" s="170"/>
      <c r="R156" s="170"/>
      <c r="S156" s="180"/>
      <c r="T156" s="269"/>
    </row>
    <row r="157" spans="1:20" ht="15">
      <c r="A157" s="259" t="s">
        <v>293</v>
      </c>
      <c r="B157" s="24" t="s">
        <v>569</v>
      </c>
      <c r="C157" s="50"/>
      <c r="D157" s="19"/>
      <c r="E157" s="50"/>
      <c r="F157" s="50"/>
      <c r="G157" s="55"/>
      <c r="H157" s="19"/>
      <c r="I157" s="19">
        <v>21045</v>
      </c>
      <c r="J157" s="19"/>
      <c r="K157" s="19"/>
      <c r="L157" s="19"/>
      <c r="M157" s="19"/>
      <c r="N157" s="54"/>
      <c r="O157" s="50"/>
      <c r="P157" s="120">
        <f t="shared" si="20"/>
        <v>21045</v>
      </c>
      <c r="Q157" s="170"/>
      <c r="R157" s="170"/>
      <c r="S157" s="180"/>
      <c r="T157" s="186"/>
    </row>
    <row r="158" spans="1:20" ht="15">
      <c r="A158" s="257" t="s">
        <v>279</v>
      </c>
      <c r="B158" s="24" t="s">
        <v>570</v>
      </c>
      <c r="C158" s="50">
        <f>361315+4050</f>
        <v>365365</v>
      </c>
      <c r="D158" s="19"/>
      <c r="E158" s="50"/>
      <c r="F158" s="50"/>
      <c r="G158" s="207"/>
      <c r="H158" s="19"/>
      <c r="I158" s="19"/>
      <c r="J158" s="19"/>
      <c r="K158" s="19"/>
      <c r="L158" s="19"/>
      <c r="M158" s="201"/>
      <c r="N158" s="54"/>
      <c r="O158" s="50"/>
      <c r="P158" s="120">
        <f t="shared" si="20"/>
        <v>365365</v>
      </c>
      <c r="Q158" s="170"/>
      <c r="R158" s="170"/>
      <c r="S158" s="180"/>
      <c r="T158" s="186"/>
    </row>
    <row r="159" spans="1:20" ht="15">
      <c r="A159" s="257" t="s">
        <v>571</v>
      </c>
      <c r="B159" s="24" t="s">
        <v>572</v>
      </c>
      <c r="C159" s="50">
        <f>176592+2835</f>
        <v>179427</v>
      </c>
      <c r="D159" s="19"/>
      <c r="E159" s="50"/>
      <c r="F159" s="50"/>
      <c r="G159" s="207"/>
      <c r="H159" s="19"/>
      <c r="I159" s="19"/>
      <c r="J159" s="19"/>
      <c r="K159" s="19"/>
      <c r="L159" s="19"/>
      <c r="M159" s="201"/>
      <c r="N159" s="54"/>
      <c r="O159" s="50"/>
      <c r="P159" s="120">
        <f t="shared" si="20"/>
        <v>179427</v>
      </c>
      <c r="Q159" s="170"/>
      <c r="R159" s="170"/>
      <c r="S159" s="180"/>
      <c r="T159" s="186"/>
    </row>
    <row r="160" spans="1:20" ht="15">
      <c r="A160" s="257" t="s">
        <v>573</v>
      </c>
      <c r="B160" s="258" t="s">
        <v>574</v>
      </c>
      <c r="C160" s="19">
        <f>754829-2720+14962+10530+22640</f>
        <v>800241</v>
      </c>
      <c r="D160" s="19"/>
      <c r="E160" s="50"/>
      <c r="F160" s="50"/>
      <c r="G160" s="207"/>
      <c r="H160" s="19"/>
      <c r="I160" s="19"/>
      <c r="J160" s="19"/>
      <c r="K160" s="19"/>
      <c r="L160" s="19"/>
      <c r="M160" s="201"/>
      <c r="N160" s="54"/>
      <c r="O160" s="50"/>
      <c r="P160" s="120">
        <f t="shared" si="20"/>
        <v>800241</v>
      </c>
      <c r="Q160" s="170"/>
      <c r="R160" s="170"/>
      <c r="S160" s="180"/>
      <c r="T160" s="186"/>
    </row>
    <row r="161" spans="1:20" ht="15">
      <c r="A161" s="253" t="s">
        <v>575</v>
      </c>
      <c r="B161" s="4" t="s">
        <v>576</v>
      </c>
      <c r="C161" s="19">
        <f>214653+3155+2430</f>
        <v>220238</v>
      </c>
      <c r="D161" s="19"/>
      <c r="E161" s="50"/>
      <c r="F161" s="50"/>
      <c r="G161" s="207"/>
      <c r="H161" s="19"/>
      <c r="I161" s="19"/>
      <c r="J161" s="19"/>
      <c r="K161" s="19"/>
      <c r="L161" s="19"/>
      <c r="M161" s="201"/>
      <c r="N161" s="54"/>
      <c r="O161" s="50"/>
      <c r="P161" s="120">
        <f t="shared" si="20"/>
        <v>220238</v>
      </c>
      <c r="Q161" s="170"/>
      <c r="R161" s="170"/>
      <c r="S161" s="180"/>
      <c r="T161" s="186"/>
    </row>
    <row r="162" spans="1:20" ht="15">
      <c r="A162" s="253" t="s">
        <v>577</v>
      </c>
      <c r="B162" s="4" t="s">
        <v>578</v>
      </c>
      <c r="C162" s="19">
        <f>95892+810</f>
        <v>96702</v>
      </c>
      <c r="D162" s="19"/>
      <c r="E162" s="50"/>
      <c r="F162" s="50"/>
      <c r="G162" s="207"/>
      <c r="H162" s="19"/>
      <c r="I162" s="19"/>
      <c r="J162" s="19"/>
      <c r="K162" s="19"/>
      <c r="L162" s="19"/>
      <c r="M162" s="201"/>
      <c r="N162" s="54"/>
      <c r="O162" s="50"/>
      <c r="P162" s="120">
        <f t="shared" si="20"/>
        <v>96702</v>
      </c>
      <c r="Q162" s="170"/>
      <c r="R162" s="170"/>
      <c r="S162" s="180"/>
      <c r="T162" s="186"/>
    </row>
    <row r="163" spans="1:20" ht="15">
      <c r="A163" s="253" t="s">
        <v>579</v>
      </c>
      <c r="B163" s="4" t="s">
        <v>580</v>
      </c>
      <c r="C163" s="19">
        <v>50470</v>
      </c>
      <c r="D163" s="19"/>
      <c r="E163" s="50"/>
      <c r="F163" s="50"/>
      <c r="G163" s="207"/>
      <c r="H163" s="19"/>
      <c r="I163" s="19"/>
      <c r="J163" s="19"/>
      <c r="K163" s="19"/>
      <c r="L163" s="19"/>
      <c r="M163" s="201"/>
      <c r="N163" s="54"/>
      <c r="O163" s="50"/>
      <c r="P163" s="120">
        <f t="shared" si="20"/>
        <v>50470</v>
      </c>
      <c r="Q163" s="170"/>
      <c r="R163" s="170"/>
      <c r="S163" s="180"/>
      <c r="T163" s="186"/>
    </row>
    <row r="164" spans="1:20" ht="15">
      <c r="A164" s="253" t="s">
        <v>581</v>
      </c>
      <c r="B164" s="4" t="s">
        <v>582</v>
      </c>
      <c r="C164" s="8">
        <f>70912+728+1215</f>
        <v>72855</v>
      </c>
      <c r="D164" s="19"/>
      <c r="E164" s="50"/>
      <c r="F164" s="50"/>
      <c r="G164" s="207"/>
      <c r="H164" s="19"/>
      <c r="I164" s="19"/>
      <c r="J164" s="19"/>
      <c r="K164" s="19"/>
      <c r="L164" s="19"/>
      <c r="M164" s="201"/>
      <c r="N164" s="54"/>
      <c r="O164" s="50"/>
      <c r="P164" s="120">
        <f t="shared" si="20"/>
        <v>72855</v>
      </c>
      <c r="Q164" s="170"/>
      <c r="R164" s="170"/>
      <c r="S164" s="180"/>
      <c r="T164" s="186"/>
    </row>
    <row r="165" spans="1:20" ht="15">
      <c r="A165" s="119" t="s">
        <v>88</v>
      </c>
      <c r="B165" s="82" t="s">
        <v>194</v>
      </c>
      <c r="C165" s="31">
        <f>SUM(C166:C178)</f>
        <v>2815816</v>
      </c>
      <c r="D165" s="31">
        <f aca="true" t="shared" si="27" ref="D165:N165">SUM(D166:D178)</f>
        <v>0</v>
      </c>
      <c r="E165" s="31">
        <f t="shared" si="27"/>
        <v>0</v>
      </c>
      <c r="F165" s="31">
        <f t="shared" si="27"/>
        <v>0</v>
      </c>
      <c r="G165" s="31">
        <f t="shared" si="27"/>
        <v>0</v>
      </c>
      <c r="H165" s="31">
        <f t="shared" si="27"/>
        <v>0</v>
      </c>
      <c r="I165" s="31">
        <f t="shared" si="27"/>
        <v>1572</v>
      </c>
      <c r="J165" s="31">
        <f t="shared" si="27"/>
        <v>0</v>
      </c>
      <c r="K165" s="31">
        <f t="shared" si="27"/>
        <v>0</v>
      </c>
      <c r="L165" s="31">
        <f t="shared" si="27"/>
        <v>0</v>
      </c>
      <c r="M165" s="31">
        <f t="shared" si="27"/>
        <v>0</v>
      </c>
      <c r="N165" s="31">
        <f t="shared" si="27"/>
        <v>7500</v>
      </c>
      <c r="O165" s="31">
        <f>SUM(O166:O178)</f>
        <v>0</v>
      </c>
      <c r="P165" s="120">
        <f>SUM(C165:O165)</f>
        <v>2824888</v>
      </c>
      <c r="Q165" s="170"/>
      <c r="R165" s="170"/>
      <c r="S165" s="180"/>
      <c r="T165" s="186"/>
    </row>
    <row r="166" spans="1:20" ht="15">
      <c r="A166" s="49" t="s">
        <v>195</v>
      </c>
      <c r="B166" s="33" t="s">
        <v>583</v>
      </c>
      <c r="C166" s="123">
        <f>166761+18000+10000+12500-5000</f>
        <v>202261</v>
      </c>
      <c r="D166" s="19"/>
      <c r="E166" s="50"/>
      <c r="F166" s="50"/>
      <c r="G166" s="19"/>
      <c r="H166" s="19"/>
      <c r="I166" s="19"/>
      <c r="J166" s="19"/>
      <c r="K166" s="19"/>
      <c r="L166" s="19"/>
      <c r="M166" s="19"/>
      <c r="N166" s="50">
        <v>7500</v>
      </c>
      <c r="O166" s="50"/>
      <c r="P166" s="120">
        <f t="shared" si="20"/>
        <v>209761</v>
      </c>
      <c r="Q166" s="170"/>
      <c r="R166" s="170"/>
      <c r="S166" s="180"/>
      <c r="T166" s="186"/>
    </row>
    <row r="167" spans="1:20" ht="15">
      <c r="A167" s="49" t="s">
        <v>196</v>
      </c>
      <c r="B167" s="33" t="s">
        <v>584</v>
      </c>
      <c r="C167" s="50">
        <f>339404+5000</f>
        <v>344404</v>
      </c>
      <c r="D167" s="19"/>
      <c r="E167" s="50"/>
      <c r="F167" s="50"/>
      <c r="G167" s="19"/>
      <c r="H167" s="19"/>
      <c r="I167" s="19"/>
      <c r="J167" s="19"/>
      <c r="K167" s="19"/>
      <c r="L167" s="19"/>
      <c r="M167" s="19"/>
      <c r="N167" s="50"/>
      <c r="O167" s="50"/>
      <c r="P167" s="120">
        <f t="shared" si="20"/>
        <v>344404</v>
      </c>
      <c r="Q167" s="170"/>
      <c r="R167" s="170"/>
      <c r="S167" s="180"/>
      <c r="T167" s="186"/>
    </row>
    <row r="168" spans="1:20" ht="30">
      <c r="A168" s="49" t="s">
        <v>275</v>
      </c>
      <c r="B168" s="33" t="s">
        <v>585</v>
      </c>
      <c r="C168" s="123">
        <f>20000-1500</f>
        <v>18500</v>
      </c>
      <c r="D168" s="19"/>
      <c r="E168" s="50"/>
      <c r="F168" s="50"/>
      <c r="G168" s="19"/>
      <c r="H168" s="19"/>
      <c r="I168" s="19">
        <v>1572</v>
      </c>
      <c r="J168" s="19"/>
      <c r="K168" s="19"/>
      <c r="L168" s="19"/>
      <c r="M168" s="19"/>
      <c r="N168" s="50"/>
      <c r="O168" s="50"/>
      <c r="P168" s="120">
        <f t="shared" si="20"/>
        <v>20072</v>
      </c>
      <c r="Q168" s="170"/>
      <c r="R168" s="170"/>
      <c r="S168" s="180"/>
      <c r="T168" s="186"/>
    </row>
    <row r="169" spans="1:20" ht="45">
      <c r="A169" s="49" t="s">
        <v>244</v>
      </c>
      <c r="B169" s="149" t="s">
        <v>586</v>
      </c>
      <c r="C169" s="50">
        <v>60000</v>
      </c>
      <c r="D169" s="19"/>
      <c r="E169" s="50"/>
      <c r="F169" s="50"/>
      <c r="G169" s="19"/>
      <c r="H169" s="19"/>
      <c r="I169" s="19"/>
      <c r="J169" s="19"/>
      <c r="K169" s="19"/>
      <c r="L169" s="19"/>
      <c r="M169" s="19"/>
      <c r="N169" s="50"/>
      <c r="O169" s="50"/>
      <c r="P169" s="120">
        <f t="shared" si="20"/>
        <v>60000</v>
      </c>
      <c r="Q169" s="170"/>
      <c r="R169" s="170"/>
      <c r="S169" s="180"/>
      <c r="T169" s="186"/>
    </row>
    <row r="170" spans="1:20" ht="47.25">
      <c r="A170" s="12" t="s">
        <v>314</v>
      </c>
      <c r="B170" s="15" t="s">
        <v>335</v>
      </c>
      <c r="C170" s="50">
        <v>25012</v>
      </c>
      <c r="D170" s="19"/>
      <c r="E170" s="50"/>
      <c r="F170" s="50"/>
      <c r="G170" s="19"/>
      <c r="H170" s="19"/>
      <c r="I170" s="19"/>
      <c r="J170" s="19"/>
      <c r="K170" s="19"/>
      <c r="L170" s="19"/>
      <c r="M170" s="19"/>
      <c r="N170" s="50"/>
      <c r="O170" s="50"/>
      <c r="P170" s="120">
        <f t="shared" si="20"/>
        <v>25012</v>
      </c>
      <c r="Q170" s="170"/>
      <c r="R170" s="170"/>
      <c r="S170" s="180"/>
      <c r="T170" s="186"/>
    </row>
    <row r="171" spans="1:20" ht="30">
      <c r="A171" s="12" t="s">
        <v>391</v>
      </c>
      <c r="B171" s="210" t="s">
        <v>392</v>
      </c>
      <c r="C171" s="50">
        <f>533704+135000+168916</f>
        <v>837620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120">
        <f t="shared" si="20"/>
        <v>837620</v>
      </c>
      <c r="Q171" s="170"/>
      <c r="R171" s="170"/>
      <c r="S171" s="180"/>
      <c r="T171" s="186"/>
    </row>
    <row r="172" spans="1:20" ht="15">
      <c r="A172" s="12" t="s">
        <v>587</v>
      </c>
      <c r="B172" s="228" t="s">
        <v>588</v>
      </c>
      <c r="C172" s="19">
        <v>57362</v>
      </c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120">
        <f t="shared" si="20"/>
        <v>57362</v>
      </c>
      <c r="Q172" s="170"/>
      <c r="R172" s="170"/>
      <c r="S172" s="180"/>
      <c r="T172" s="186"/>
    </row>
    <row r="173" spans="1:20" ht="15">
      <c r="A173" s="12" t="s">
        <v>589</v>
      </c>
      <c r="B173" s="228" t="s">
        <v>590</v>
      </c>
      <c r="C173" s="19">
        <f>21357-3628</f>
        <v>17729</v>
      </c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120">
        <f t="shared" si="20"/>
        <v>17729</v>
      </c>
      <c r="Q173" s="170"/>
      <c r="R173" s="170"/>
      <c r="S173" s="180"/>
      <c r="T173" s="186"/>
    </row>
    <row r="174" spans="1:20" ht="30">
      <c r="A174" s="12" t="s">
        <v>591</v>
      </c>
      <c r="B174" s="260" t="s">
        <v>592</v>
      </c>
      <c r="C174" s="50">
        <v>60000</v>
      </c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120">
        <f t="shared" si="20"/>
        <v>60000</v>
      </c>
      <c r="Q174" s="170"/>
      <c r="R174" s="170"/>
      <c r="S174" s="186"/>
      <c r="T174" s="186"/>
    </row>
    <row r="175" spans="1:20" s="182" customFormat="1" ht="30">
      <c r="A175" s="12" t="s">
        <v>593</v>
      </c>
      <c r="B175" s="260" t="s">
        <v>594</v>
      </c>
      <c r="C175" s="50">
        <f>20000+214</f>
        <v>20214</v>
      </c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120">
        <f t="shared" si="20"/>
        <v>20214</v>
      </c>
      <c r="Q175" s="170"/>
      <c r="R175" s="170"/>
      <c r="S175" s="180"/>
      <c r="T175" s="186"/>
    </row>
    <row r="176" spans="1:20" s="182" customFormat="1" ht="15">
      <c r="A176" s="12" t="s">
        <v>595</v>
      </c>
      <c r="B176" s="260" t="s">
        <v>596</v>
      </c>
      <c r="C176" s="50">
        <f>468508-175559</f>
        <v>292949</v>
      </c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120">
        <f t="shared" si="20"/>
        <v>292949</v>
      </c>
      <c r="Q176" s="170"/>
      <c r="R176" s="170"/>
      <c r="S176" s="199"/>
      <c r="T176" s="186"/>
    </row>
    <row r="177" spans="1:20" s="182" customFormat="1" ht="28.5" customHeight="1">
      <c r="A177" s="12" t="s">
        <v>597</v>
      </c>
      <c r="B177" s="260" t="s">
        <v>598</v>
      </c>
      <c r="C177" s="50">
        <v>200000</v>
      </c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120">
        <f t="shared" si="20"/>
        <v>200000</v>
      </c>
      <c r="Q177" s="170"/>
      <c r="R177" s="170"/>
      <c r="S177" s="180"/>
      <c r="T177" s="186"/>
    </row>
    <row r="178" spans="1:20" ht="45">
      <c r="A178" s="12" t="s">
        <v>687</v>
      </c>
      <c r="B178" s="260" t="s">
        <v>688</v>
      </c>
      <c r="C178" s="50">
        <v>679765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120">
        <f t="shared" si="20"/>
        <v>679765</v>
      </c>
      <c r="Q178" s="170"/>
      <c r="R178" s="170"/>
      <c r="S178" s="180"/>
      <c r="T178" s="186"/>
    </row>
    <row r="179" spans="1:20" ht="15">
      <c r="A179" s="81" t="s">
        <v>280</v>
      </c>
      <c r="B179" s="150" t="s">
        <v>281</v>
      </c>
      <c r="C179" s="50">
        <f>SUM(C180:C181)</f>
        <v>204786</v>
      </c>
      <c r="D179" s="50">
        <f aca="true" t="shared" si="28" ref="D179:O179">SUM(D180:D181)</f>
        <v>0</v>
      </c>
      <c r="E179" s="50">
        <f t="shared" si="28"/>
        <v>0</v>
      </c>
      <c r="F179" s="50">
        <f t="shared" si="28"/>
        <v>0</v>
      </c>
      <c r="G179" s="50">
        <f t="shared" si="28"/>
        <v>0</v>
      </c>
      <c r="H179" s="50">
        <f t="shared" si="28"/>
        <v>0</v>
      </c>
      <c r="I179" s="50">
        <f t="shared" si="28"/>
        <v>3596</v>
      </c>
      <c r="J179" s="50">
        <f t="shared" si="28"/>
        <v>1750</v>
      </c>
      <c r="K179" s="50">
        <f t="shared" si="28"/>
        <v>0</v>
      </c>
      <c r="L179" s="50">
        <f t="shared" si="28"/>
        <v>0</v>
      </c>
      <c r="M179" s="50">
        <f t="shared" si="28"/>
        <v>0</v>
      </c>
      <c r="N179" s="50">
        <f t="shared" si="28"/>
        <v>0</v>
      </c>
      <c r="O179" s="50">
        <f t="shared" si="28"/>
        <v>0</v>
      </c>
      <c r="P179" s="120">
        <f t="shared" si="20"/>
        <v>210132</v>
      </c>
      <c r="Q179" s="170"/>
      <c r="R179" s="170"/>
      <c r="S179" s="180"/>
      <c r="T179" s="186"/>
    </row>
    <row r="180" spans="1:20" ht="15">
      <c r="A180" s="11" t="s">
        <v>294</v>
      </c>
      <c r="B180" s="82" t="s">
        <v>89</v>
      </c>
      <c r="C180" s="151">
        <v>24300</v>
      </c>
      <c r="D180" s="31"/>
      <c r="E180" s="85"/>
      <c r="F180" s="85"/>
      <c r="G180" s="19"/>
      <c r="H180" s="19"/>
      <c r="I180" s="19"/>
      <c r="J180" s="19"/>
      <c r="K180" s="19"/>
      <c r="L180" s="19"/>
      <c r="M180" s="19"/>
      <c r="N180" s="50"/>
      <c r="O180" s="50"/>
      <c r="P180" s="120">
        <f t="shared" si="20"/>
        <v>24300</v>
      </c>
      <c r="Q180" s="170"/>
      <c r="R180" s="170"/>
      <c r="S180" s="180"/>
      <c r="T180" s="186"/>
    </row>
    <row r="181" spans="1:20" ht="29.25">
      <c r="A181" s="11" t="s">
        <v>295</v>
      </c>
      <c r="B181" s="82" t="s">
        <v>90</v>
      </c>
      <c r="C181" s="85">
        <v>180486</v>
      </c>
      <c r="D181" s="31"/>
      <c r="E181" s="85"/>
      <c r="F181" s="85"/>
      <c r="G181" s="19"/>
      <c r="H181" s="19"/>
      <c r="I181" s="19">
        <v>3596</v>
      </c>
      <c r="J181" s="19">
        <v>1750</v>
      </c>
      <c r="K181" s="19"/>
      <c r="L181" s="19"/>
      <c r="M181" s="19"/>
      <c r="N181" s="50"/>
      <c r="O181" s="50"/>
      <c r="P181" s="120">
        <f t="shared" si="20"/>
        <v>185832</v>
      </c>
      <c r="Q181" s="170"/>
      <c r="R181" s="170"/>
      <c r="S181" s="186"/>
      <c r="T181" s="186"/>
    </row>
    <row r="182" spans="1:20" ht="43.5">
      <c r="A182" s="213" t="s">
        <v>376</v>
      </c>
      <c r="B182" s="276" t="s">
        <v>357</v>
      </c>
      <c r="C182" s="85">
        <f>30000-15003</f>
        <v>14997</v>
      </c>
      <c r="D182" s="31"/>
      <c r="E182" s="85"/>
      <c r="F182" s="85"/>
      <c r="G182" s="19"/>
      <c r="H182" s="19"/>
      <c r="I182" s="19"/>
      <c r="J182" s="19"/>
      <c r="K182" s="19"/>
      <c r="L182" s="19"/>
      <c r="M182" s="19"/>
      <c r="N182" s="19"/>
      <c r="O182" s="50"/>
      <c r="P182" s="120">
        <f t="shared" si="20"/>
        <v>14997</v>
      </c>
      <c r="Q182" s="170"/>
      <c r="R182" s="170"/>
      <c r="S182" s="180"/>
      <c r="T182" s="186"/>
    </row>
    <row r="183" spans="1:20" ht="30" thickBot="1">
      <c r="A183" s="213" t="s">
        <v>706</v>
      </c>
      <c r="B183" s="71" t="s">
        <v>707</v>
      </c>
      <c r="C183" s="135">
        <v>50000</v>
      </c>
      <c r="D183" s="152"/>
      <c r="E183" s="135"/>
      <c r="F183" s="135"/>
      <c r="G183" s="72"/>
      <c r="H183" s="72"/>
      <c r="I183" s="72"/>
      <c r="J183" s="72"/>
      <c r="K183" s="72"/>
      <c r="L183" s="72"/>
      <c r="M183" s="72"/>
      <c r="N183" s="73"/>
      <c r="O183" s="50"/>
      <c r="P183" s="120">
        <f t="shared" si="20"/>
        <v>50000</v>
      </c>
      <c r="Q183" s="170"/>
      <c r="R183" s="170"/>
      <c r="S183" s="180"/>
      <c r="T183" s="186"/>
    </row>
    <row r="184" spans="1:20" ht="15.75" thickBot="1">
      <c r="A184" s="153" t="s">
        <v>91</v>
      </c>
      <c r="B184" s="142" t="s">
        <v>0</v>
      </c>
      <c r="C184" s="42">
        <f aca="true" t="shared" si="29" ref="C184:O184">C185+C200+C203+C222+C232+C240+C241</f>
        <v>65241468</v>
      </c>
      <c r="D184" s="42">
        <f t="shared" si="29"/>
        <v>0</v>
      </c>
      <c r="E184" s="42">
        <f t="shared" si="29"/>
        <v>0</v>
      </c>
      <c r="F184" s="42">
        <f t="shared" si="29"/>
        <v>0</v>
      </c>
      <c r="G184" s="42">
        <f t="shared" si="29"/>
        <v>1416660</v>
      </c>
      <c r="H184" s="42">
        <f t="shared" si="29"/>
        <v>0</v>
      </c>
      <c r="I184" s="42">
        <f t="shared" si="29"/>
        <v>553450</v>
      </c>
      <c r="J184" s="42">
        <f t="shared" si="29"/>
        <v>1703604</v>
      </c>
      <c r="K184" s="42">
        <f t="shared" si="29"/>
        <v>47934</v>
      </c>
      <c r="L184" s="42">
        <f t="shared" si="29"/>
        <v>32894</v>
      </c>
      <c r="M184" s="42">
        <f t="shared" si="29"/>
        <v>49199</v>
      </c>
      <c r="N184" s="42">
        <f t="shared" si="29"/>
        <v>732823</v>
      </c>
      <c r="O184" s="43">
        <f t="shared" si="29"/>
        <v>0</v>
      </c>
      <c r="P184" s="44">
        <f t="shared" si="20"/>
        <v>69778032</v>
      </c>
      <c r="Q184" s="170"/>
      <c r="R184" s="170"/>
      <c r="S184" s="180"/>
      <c r="T184" s="186"/>
    </row>
    <row r="185" spans="1:20" ht="15">
      <c r="A185" s="112" t="s">
        <v>92</v>
      </c>
      <c r="B185" s="113" t="s">
        <v>197</v>
      </c>
      <c r="C185" s="114">
        <f>SUM(C186:C199)</f>
        <v>10509132</v>
      </c>
      <c r="D185" s="114">
        <f aca="true" t="shared" si="30" ref="D185:O185">SUM(D186:D199)</f>
        <v>0</v>
      </c>
      <c r="E185" s="114">
        <f t="shared" si="30"/>
        <v>0</v>
      </c>
      <c r="F185" s="114">
        <f t="shared" si="30"/>
        <v>0</v>
      </c>
      <c r="G185" s="114">
        <f t="shared" si="30"/>
        <v>0</v>
      </c>
      <c r="H185" s="114">
        <f t="shared" si="30"/>
        <v>0</v>
      </c>
      <c r="I185" s="114">
        <f t="shared" si="30"/>
        <v>0</v>
      </c>
      <c r="J185" s="114">
        <f t="shared" si="30"/>
        <v>419212</v>
      </c>
      <c r="K185" s="114">
        <f t="shared" si="30"/>
        <v>0</v>
      </c>
      <c r="L185" s="114">
        <f t="shared" si="30"/>
        <v>0</v>
      </c>
      <c r="M185" s="114">
        <f t="shared" si="30"/>
        <v>0</v>
      </c>
      <c r="N185" s="114">
        <f t="shared" si="30"/>
        <v>0</v>
      </c>
      <c r="O185" s="114">
        <f t="shared" si="30"/>
        <v>0</v>
      </c>
      <c r="P185" s="48">
        <f t="shared" si="20"/>
        <v>10928344</v>
      </c>
      <c r="Q185" s="170"/>
      <c r="R185" s="170"/>
      <c r="S185" s="186"/>
      <c r="T185" s="186"/>
    </row>
    <row r="186" spans="1:20" ht="15">
      <c r="A186" s="49" t="s">
        <v>198</v>
      </c>
      <c r="B186" s="24" t="s">
        <v>93</v>
      </c>
      <c r="C186" s="50">
        <f>832721+106628+2625+10204+6842+64748</f>
        <v>1023768</v>
      </c>
      <c r="D186" s="19"/>
      <c r="E186" s="50"/>
      <c r="F186" s="50"/>
      <c r="G186" s="19"/>
      <c r="H186" s="19"/>
      <c r="I186" s="19"/>
      <c r="J186" s="19"/>
      <c r="K186" s="19"/>
      <c r="L186" s="19"/>
      <c r="M186" s="19"/>
      <c r="N186" s="50"/>
      <c r="O186" s="50"/>
      <c r="P186" s="120">
        <f t="shared" si="20"/>
        <v>1023768</v>
      </c>
      <c r="Q186" s="170"/>
      <c r="R186" s="170"/>
      <c r="S186" s="180"/>
      <c r="T186" s="186"/>
    </row>
    <row r="187" spans="1:20" ht="15">
      <c r="A187" s="49" t="s">
        <v>199</v>
      </c>
      <c r="B187" s="24" t="s">
        <v>94</v>
      </c>
      <c r="C187" s="50">
        <f>613193+56578+1393+7397+3000+35088</f>
        <v>716649</v>
      </c>
      <c r="D187" s="19"/>
      <c r="E187" s="50"/>
      <c r="F187" s="50"/>
      <c r="G187" s="19"/>
      <c r="H187" s="19"/>
      <c r="I187" s="19"/>
      <c r="J187" s="19"/>
      <c r="K187" s="19"/>
      <c r="L187" s="19"/>
      <c r="M187" s="19"/>
      <c r="N187" s="50"/>
      <c r="O187" s="50"/>
      <c r="P187" s="120">
        <f t="shared" si="20"/>
        <v>716649</v>
      </c>
      <c r="Q187" s="170"/>
      <c r="R187" s="170"/>
      <c r="S187" s="180"/>
      <c r="T187" s="186"/>
    </row>
    <row r="188" spans="1:20" ht="15">
      <c r="A188" s="49" t="s">
        <v>200</v>
      </c>
      <c r="B188" s="24" t="s">
        <v>95</v>
      </c>
      <c r="C188" s="50">
        <f>595535+91736+1821+8645+2750+56868+1192</f>
        <v>758547</v>
      </c>
      <c r="D188" s="19"/>
      <c r="E188" s="50"/>
      <c r="F188" s="50"/>
      <c r="G188" s="19"/>
      <c r="H188" s="19"/>
      <c r="I188" s="19"/>
      <c r="J188" s="19"/>
      <c r="K188" s="19"/>
      <c r="L188" s="19"/>
      <c r="M188" s="19"/>
      <c r="N188" s="50"/>
      <c r="O188" s="50"/>
      <c r="P188" s="120">
        <f t="shared" si="20"/>
        <v>758547</v>
      </c>
      <c r="Q188" s="170"/>
      <c r="R188" s="170"/>
      <c r="S188" s="180"/>
      <c r="T188" s="186"/>
    </row>
    <row r="189" spans="1:20" ht="15">
      <c r="A189" s="49" t="s">
        <v>201</v>
      </c>
      <c r="B189" s="24" t="s">
        <v>96</v>
      </c>
      <c r="C189" s="50">
        <f>826174+8873+11927+47204</f>
        <v>894178</v>
      </c>
      <c r="D189" s="19"/>
      <c r="E189" s="50"/>
      <c r="F189" s="50"/>
      <c r="G189" s="19"/>
      <c r="H189" s="19"/>
      <c r="I189" s="19"/>
      <c r="J189" s="19"/>
      <c r="K189" s="19"/>
      <c r="L189" s="19"/>
      <c r="M189" s="19"/>
      <c r="N189" s="50"/>
      <c r="O189" s="50"/>
      <c r="P189" s="120">
        <f aca="true" t="shared" si="31" ref="P189:P224">SUM(C189:O189)</f>
        <v>894178</v>
      </c>
      <c r="Q189" s="170"/>
      <c r="R189" s="170"/>
      <c r="S189" s="180"/>
      <c r="T189" s="186"/>
    </row>
    <row r="190" spans="1:20" ht="15">
      <c r="A190" s="49" t="s">
        <v>202</v>
      </c>
      <c r="B190" s="24" t="s">
        <v>97</v>
      </c>
      <c r="C190" s="50">
        <f>366234+38280+839+11000+4442+7050+19632</f>
        <v>447477</v>
      </c>
      <c r="D190" s="19"/>
      <c r="E190" s="50"/>
      <c r="F190" s="50"/>
      <c r="G190" s="19"/>
      <c r="H190" s="19"/>
      <c r="I190" s="19"/>
      <c r="J190" s="19"/>
      <c r="K190" s="19"/>
      <c r="L190" s="19"/>
      <c r="M190" s="19"/>
      <c r="N190" s="50"/>
      <c r="O190" s="50"/>
      <c r="P190" s="120">
        <f t="shared" si="31"/>
        <v>447477</v>
      </c>
      <c r="Q190" s="170"/>
      <c r="R190" s="170"/>
      <c r="S190" s="180"/>
      <c r="T190" s="186"/>
    </row>
    <row r="191" spans="1:20" ht="15">
      <c r="A191" s="49" t="s">
        <v>203</v>
      </c>
      <c r="B191" s="24" t="s">
        <v>114</v>
      </c>
      <c r="C191" s="50">
        <f>764667+102272+2518+10093+17680+61408</f>
        <v>958638</v>
      </c>
      <c r="D191" s="19"/>
      <c r="E191" s="50"/>
      <c r="F191" s="50"/>
      <c r="G191" s="19"/>
      <c r="H191" s="19"/>
      <c r="I191" s="19"/>
      <c r="J191" s="19"/>
      <c r="K191" s="19"/>
      <c r="L191" s="19"/>
      <c r="M191" s="19"/>
      <c r="N191" s="50"/>
      <c r="O191" s="50"/>
      <c r="P191" s="120">
        <f t="shared" si="31"/>
        <v>958638</v>
      </c>
      <c r="Q191" s="170"/>
      <c r="R191" s="170"/>
      <c r="S191" s="180"/>
      <c r="T191" s="186"/>
    </row>
    <row r="192" spans="1:20" ht="15">
      <c r="A192" s="49" t="s">
        <v>204</v>
      </c>
      <c r="B192" s="24" t="s">
        <v>128</v>
      </c>
      <c r="C192" s="50">
        <f>416651+47874+1179+10000+4689+2764+30076</f>
        <v>513233</v>
      </c>
      <c r="D192" s="50"/>
      <c r="E192" s="50"/>
      <c r="F192" s="50"/>
      <c r="G192" s="19"/>
      <c r="H192" s="19"/>
      <c r="I192" s="19"/>
      <c r="J192" s="50"/>
      <c r="K192" s="50"/>
      <c r="L192" s="50"/>
      <c r="M192" s="50"/>
      <c r="N192" s="50"/>
      <c r="O192" s="50"/>
      <c r="P192" s="120">
        <f t="shared" si="31"/>
        <v>513233</v>
      </c>
      <c r="Q192" s="170"/>
      <c r="R192" s="170"/>
      <c r="S192" s="180"/>
      <c r="T192" s="186"/>
    </row>
    <row r="193" spans="1:20" ht="15">
      <c r="A193" s="49" t="s">
        <v>205</v>
      </c>
      <c r="B193" s="24" t="s">
        <v>129</v>
      </c>
      <c r="C193" s="50"/>
      <c r="D193" s="50"/>
      <c r="E193" s="50"/>
      <c r="F193" s="50"/>
      <c r="G193" s="19"/>
      <c r="H193" s="19"/>
      <c r="I193" s="19"/>
      <c r="J193" s="19">
        <v>419212</v>
      </c>
      <c r="K193" s="50"/>
      <c r="L193" s="50"/>
      <c r="M193" s="50"/>
      <c r="N193" s="50"/>
      <c r="O193" s="50"/>
      <c r="P193" s="120">
        <f t="shared" si="31"/>
        <v>419212</v>
      </c>
      <c r="Q193" s="170"/>
      <c r="R193" s="170"/>
      <c r="S193" s="180"/>
      <c r="T193" s="186"/>
    </row>
    <row r="194" spans="1:20" ht="30">
      <c r="A194" s="49" t="s">
        <v>206</v>
      </c>
      <c r="B194" s="24" t="s">
        <v>336</v>
      </c>
      <c r="C194" s="50">
        <v>910000</v>
      </c>
      <c r="D194" s="50"/>
      <c r="E194" s="50"/>
      <c r="F194" s="50"/>
      <c r="G194" s="19"/>
      <c r="H194" s="19"/>
      <c r="I194" s="19"/>
      <c r="J194" s="50"/>
      <c r="K194" s="50"/>
      <c r="L194" s="50"/>
      <c r="M194" s="50"/>
      <c r="N194" s="50"/>
      <c r="O194" s="50"/>
      <c r="P194" s="120">
        <f t="shared" si="31"/>
        <v>910000</v>
      </c>
      <c r="Q194" s="170"/>
      <c r="R194" s="170"/>
      <c r="S194" s="180"/>
      <c r="T194" s="186"/>
    </row>
    <row r="195" spans="1:20" ht="15">
      <c r="A195" s="139" t="s">
        <v>599</v>
      </c>
      <c r="B195" s="24" t="s">
        <v>378</v>
      </c>
      <c r="C195" s="50">
        <f>1070633+102458+8000+12495+6460+74632</f>
        <v>1274678</v>
      </c>
      <c r="D195" s="50"/>
      <c r="E195" s="50"/>
      <c r="F195" s="50"/>
      <c r="G195" s="19"/>
      <c r="H195" s="19"/>
      <c r="I195" s="19"/>
      <c r="J195" s="123"/>
      <c r="K195" s="50"/>
      <c r="L195" s="50"/>
      <c r="M195" s="50"/>
      <c r="N195" s="50"/>
      <c r="O195" s="50"/>
      <c r="P195" s="120">
        <f t="shared" si="31"/>
        <v>1274678</v>
      </c>
      <c r="Q195" s="170"/>
      <c r="R195" s="170"/>
      <c r="S195" s="180"/>
      <c r="T195" s="186"/>
    </row>
    <row r="196" spans="1:20" ht="15">
      <c r="A196" s="139" t="s">
        <v>600</v>
      </c>
      <c r="B196" s="24" t="s">
        <v>379</v>
      </c>
      <c r="C196" s="50">
        <f>619431+75691+12914+7555+6119+41252</f>
        <v>762962</v>
      </c>
      <c r="D196" s="50"/>
      <c r="E196" s="50"/>
      <c r="F196" s="50"/>
      <c r="G196" s="19"/>
      <c r="H196" s="19"/>
      <c r="I196" s="19"/>
      <c r="J196" s="123"/>
      <c r="K196" s="50"/>
      <c r="L196" s="50"/>
      <c r="M196" s="50"/>
      <c r="N196" s="50"/>
      <c r="O196" s="50"/>
      <c r="P196" s="120">
        <f t="shared" si="31"/>
        <v>762962</v>
      </c>
      <c r="Q196" s="170"/>
      <c r="R196" s="170"/>
      <c r="S196" s="180"/>
      <c r="T196" s="186"/>
    </row>
    <row r="197" spans="1:20" ht="15">
      <c r="A197" s="139" t="s">
        <v>601</v>
      </c>
      <c r="B197" s="24" t="s">
        <v>602</v>
      </c>
      <c r="C197" s="50">
        <f>677471+73217+1571+8411+17496+55624</f>
        <v>833790</v>
      </c>
      <c r="D197" s="50"/>
      <c r="E197" s="50"/>
      <c r="F197" s="50"/>
      <c r="G197" s="19"/>
      <c r="H197" s="19"/>
      <c r="I197" s="19"/>
      <c r="J197" s="123"/>
      <c r="K197" s="50"/>
      <c r="L197" s="50"/>
      <c r="M197" s="50"/>
      <c r="N197" s="50"/>
      <c r="O197" s="50"/>
      <c r="P197" s="120">
        <f t="shared" si="31"/>
        <v>833790</v>
      </c>
      <c r="Q197" s="170"/>
      <c r="R197" s="170"/>
      <c r="S197" s="180"/>
      <c r="T197" s="186"/>
    </row>
    <row r="198" spans="1:20" ht="15">
      <c r="A198" s="139" t="s">
        <v>603</v>
      </c>
      <c r="B198" s="24" t="s">
        <v>604</v>
      </c>
      <c r="C198" s="50">
        <f>257363+22805+500+3330+1401+13368</f>
        <v>298767</v>
      </c>
      <c r="D198" s="50"/>
      <c r="E198" s="50"/>
      <c r="F198" s="50"/>
      <c r="G198" s="19"/>
      <c r="H198" s="19"/>
      <c r="I198" s="19"/>
      <c r="J198" s="123"/>
      <c r="K198" s="50"/>
      <c r="L198" s="50"/>
      <c r="M198" s="50"/>
      <c r="N198" s="50"/>
      <c r="O198" s="50"/>
      <c r="P198" s="120">
        <f t="shared" si="31"/>
        <v>298767</v>
      </c>
      <c r="Q198" s="170"/>
      <c r="R198" s="170"/>
      <c r="S198" s="180"/>
      <c r="T198" s="186"/>
    </row>
    <row r="199" spans="1:20" ht="15">
      <c r="A199" s="139" t="s">
        <v>605</v>
      </c>
      <c r="B199" s="24" t="s">
        <v>606</v>
      </c>
      <c r="C199" s="123">
        <f>1012588+30081+10822+1758+61196</f>
        <v>1116445</v>
      </c>
      <c r="D199" s="50"/>
      <c r="E199" s="50"/>
      <c r="F199" s="50"/>
      <c r="G199" s="19"/>
      <c r="H199" s="19"/>
      <c r="I199" s="19"/>
      <c r="J199" s="123"/>
      <c r="K199" s="50"/>
      <c r="L199" s="50"/>
      <c r="M199" s="50"/>
      <c r="N199" s="50"/>
      <c r="O199" s="50"/>
      <c r="P199" s="120">
        <f t="shared" si="31"/>
        <v>1116445</v>
      </c>
      <c r="Q199" s="170"/>
      <c r="R199" s="170"/>
      <c r="S199" s="180"/>
      <c r="T199" s="186"/>
    </row>
    <row r="200" spans="1:20" ht="15">
      <c r="A200" s="119" t="s">
        <v>98</v>
      </c>
      <c r="B200" s="82" t="s">
        <v>207</v>
      </c>
      <c r="C200" s="85">
        <f>SUM(C201:C202)</f>
        <v>1910472</v>
      </c>
      <c r="D200" s="85">
        <f aca="true" t="shared" si="32" ref="D200:O200">SUM(D201:D202)</f>
        <v>0</v>
      </c>
      <c r="E200" s="85">
        <f t="shared" si="32"/>
        <v>0</v>
      </c>
      <c r="F200" s="85">
        <f t="shared" si="32"/>
        <v>0</v>
      </c>
      <c r="G200" s="85">
        <f t="shared" si="32"/>
        <v>0</v>
      </c>
      <c r="H200" s="85">
        <f t="shared" si="32"/>
        <v>0</v>
      </c>
      <c r="I200" s="85">
        <f t="shared" si="32"/>
        <v>0</v>
      </c>
      <c r="J200" s="85">
        <f t="shared" si="32"/>
        <v>0</v>
      </c>
      <c r="K200" s="85">
        <f t="shared" si="32"/>
        <v>0</v>
      </c>
      <c r="L200" s="85">
        <f t="shared" si="32"/>
        <v>0</v>
      </c>
      <c r="M200" s="85">
        <f t="shared" si="32"/>
        <v>0</v>
      </c>
      <c r="N200" s="85">
        <f t="shared" si="32"/>
        <v>0</v>
      </c>
      <c r="O200" s="85">
        <f t="shared" si="32"/>
        <v>0</v>
      </c>
      <c r="P200" s="120">
        <f t="shared" si="31"/>
        <v>1910472</v>
      </c>
      <c r="Q200" s="170"/>
      <c r="R200" s="170"/>
      <c r="S200" s="180"/>
      <c r="T200" s="186"/>
    </row>
    <row r="201" spans="1:20" ht="15">
      <c r="A201" s="257" t="s">
        <v>423</v>
      </c>
      <c r="B201" s="272" t="s">
        <v>157</v>
      </c>
      <c r="C201" s="50">
        <f>344888+655031+30366+11285+1100+7054+8089+355-169309+344-2129</f>
        <v>887074</v>
      </c>
      <c r="D201" s="50"/>
      <c r="E201" s="50"/>
      <c r="F201" s="50"/>
      <c r="G201" s="55"/>
      <c r="H201" s="50"/>
      <c r="I201" s="50"/>
      <c r="J201" s="50"/>
      <c r="K201" s="50"/>
      <c r="L201" s="50"/>
      <c r="M201" s="50"/>
      <c r="N201" s="50"/>
      <c r="O201" s="50"/>
      <c r="P201" s="120">
        <f t="shared" si="31"/>
        <v>887074</v>
      </c>
      <c r="Q201" s="170"/>
      <c r="R201" s="170"/>
      <c r="S201" s="180"/>
      <c r="T201" s="186"/>
    </row>
    <row r="202" spans="1:20" ht="15">
      <c r="A202" s="257" t="s">
        <v>607</v>
      </c>
      <c r="B202" s="258" t="s">
        <v>398</v>
      </c>
      <c r="C202" s="50">
        <f>754629+123969+18508+1645+1886+61+4569+1751+80237+31748+4395</f>
        <v>1023398</v>
      </c>
      <c r="D202" s="50"/>
      <c r="E202" s="50"/>
      <c r="F202" s="50"/>
      <c r="G202" s="207"/>
      <c r="H202" s="19"/>
      <c r="I202" s="19"/>
      <c r="J202" s="50"/>
      <c r="K202" s="50"/>
      <c r="L202" s="50"/>
      <c r="M202" s="50"/>
      <c r="N202" s="50"/>
      <c r="O202" s="50"/>
      <c r="P202" s="120">
        <f t="shared" si="31"/>
        <v>1023398</v>
      </c>
      <c r="Q202" s="170"/>
      <c r="R202" s="170"/>
      <c r="S202" s="180"/>
      <c r="T202" s="186"/>
    </row>
    <row r="203" spans="1:20" ht="29.25">
      <c r="A203" s="119" t="s">
        <v>132</v>
      </c>
      <c r="B203" s="82" t="s">
        <v>208</v>
      </c>
      <c r="C203" s="85">
        <f>SUM(C204:C221)</f>
        <v>16994943</v>
      </c>
      <c r="D203" s="85">
        <f aca="true" t="shared" si="33" ref="D203:O203">SUM(D204:D221)</f>
        <v>0</v>
      </c>
      <c r="E203" s="85">
        <f t="shared" si="33"/>
        <v>0</v>
      </c>
      <c r="F203" s="85">
        <f t="shared" si="33"/>
        <v>0</v>
      </c>
      <c r="G203" s="85">
        <f t="shared" si="33"/>
        <v>1275085</v>
      </c>
      <c r="H203" s="85">
        <f t="shared" si="33"/>
        <v>0</v>
      </c>
      <c r="I203" s="85">
        <f t="shared" si="33"/>
        <v>501592</v>
      </c>
      <c r="J203" s="85">
        <f t="shared" si="33"/>
        <v>791380</v>
      </c>
      <c r="K203" s="85">
        <f t="shared" si="33"/>
        <v>0</v>
      </c>
      <c r="L203" s="85">
        <f t="shared" si="33"/>
        <v>9709</v>
      </c>
      <c r="M203" s="85">
        <f t="shared" si="33"/>
        <v>29940</v>
      </c>
      <c r="N203" s="85">
        <f>SUM(N204:N221)</f>
        <v>703867</v>
      </c>
      <c r="O203" s="85">
        <f t="shared" si="33"/>
        <v>0</v>
      </c>
      <c r="P203" s="120">
        <f t="shared" si="31"/>
        <v>20306516</v>
      </c>
      <c r="Q203" s="170"/>
      <c r="R203" s="170"/>
      <c r="S203" s="180"/>
      <c r="T203" s="186"/>
    </row>
    <row r="204" spans="1:20" ht="15">
      <c r="A204" s="49" t="s">
        <v>209</v>
      </c>
      <c r="B204" s="24" t="s">
        <v>99</v>
      </c>
      <c r="C204" s="50">
        <f>710262+1384411+26414+19804+40199+14945+17139+309+4336+701478+18534</f>
        <v>2937831</v>
      </c>
      <c r="D204" s="19"/>
      <c r="E204" s="50"/>
      <c r="F204" s="50"/>
      <c r="G204" s="19"/>
      <c r="H204" s="19"/>
      <c r="I204" s="19"/>
      <c r="J204" s="19"/>
      <c r="K204" s="19"/>
      <c r="L204" s="19"/>
      <c r="M204" s="19"/>
      <c r="N204" s="50"/>
      <c r="O204" s="50"/>
      <c r="P204" s="120">
        <f t="shared" si="31"/>
        <v>2937831</v>
      </c>
      <c r="Q204" s="170"/>
      <c r="R204" s="170"/>
      <c r="S204" s="180"/>
      <c r="T204" s="186"/>
    </row>
    <row r="205" spans="1:20" ht="15">
      <c r="A205" s="49" t="s">
        <v>210</v>
      </c>
      <c r="B205" s="24" t="s">
        <v>211</v>
      </c>
      <c r="C205" s="50">
        <f>428755+682136+22052+8854+8500+7249+8313+261+34921+388464+14959+5000</f>
        <v>1609464</v>
      </c>
      <c r="D205" s="19"/>
      <c r="E205" s="50"/>
      <c r="F205" s="50"/>
      <c r="G205" s="19"/>
      <c r="H205" s="19"/>
      <c r="I205" s="19"/>
      <c r="J205" s="19"/>
      <c r="K205" s="19"/>
      <c r="L205" s="19"/>
      <c r="M205" s="19"/>
      <c r="N205" s="50"/>
      <c r="O205" s="50"/>
      <c r="P205" s="120">
        <f t="shared" si="31"/>
        <v>1609464</v>
      </c>
      <c r="Q205" s="170"/>
      <c r="R205" s="170"/>
      <c r="S205" s="180"/>
      <c r="T205" s="186"/>
    </row>
    <row r="206" spans="1:20" ht="15">
      <c r="A206" s="49" t="s">
        <v>212</v>
      </c>
      <c r="B206" s="24" t="s">
        <v>100</v>
      </c>
      <c r="C206" s="50">
        <f>401716+597450+17758+9300+13637+6486+7438+184+22615+307966+9617</f>
        <v>1394167</v>
      </c>
      <c r="D206" s="19"/>
      <c r="E206" s="50"/>
      <c r="F206" s="50"/>
      <c r="G206" s="19"/>
      <c r="H206" s="19"/>
      <c r="I206" s="19"/>
      <c r="J206" s="19"/>
      <c r="K206" s="19"/>
      <c r="L206" s="19"/>
      <c r="M206" s="19"/>
      <c r="N206" s="50"/>
      <c r="O206" s="50"/>
      <c r="P206" s="120">
        <f t="shared" si="31"/>
        <v>1394167</v>
      </c>
      <c r="Q206" s="170"/>
      <c r="R206" s="170"/>
      <c r="S206" s="180"/>
      <c r="T206" s="186"/>
    </row>
    <row r="207" spans="1:20" ht="15">
      <c r="A207" s="49" t="s">
        <v>213</v>
      </c>
      <c r="B207" s="24" t="s">
        <v>608</v>
      </c>
      <c r="C207" s="50">
        <f>202067+212922+14419+2014+26000+2281+2616+166+1700+111119+6962</f>
        <v>582266</v>
      </c>
      <c r="D207" s="19"/>
      <c r="E207" s="50"/>
      <c r="F207" s="50"/>
      <c r="G207" s="19"/>
      <c r="H207" s="19"/>
      <c r="I207" s="19"/>
      <c r="J207" s="19"/>
      <c r="K207" s="19"/>
      <c r="L207" s="19"/>
      <c r="M207" s="19"/>
      <c r="N207" s="50"/>
      <c r="O207" s="50"/>
      <c r="P207" s="120">
        <f t="shared" si="31"/>
        <v>582266</v>
      </c>
      <c r="Q207" s="170"/>
      <c r="R207" s="170"/>
      <c r="S207" s="180"/>
      <c r="T207" s="186"/>
    </row>
    <row r="208" spans="1:20" ht="15">
      <c r="A208" s="49" t="s">
        <v>214</v>
      </c>
      <c r="B208" s="24" t="s">
        <v>130</v>
      </c>
      <c r="C208" s="50"/>
      <c r="D208" s="19"/>
      <c r="E208" s="50"/>
      <c r="F208" s="50"/>
      <c r="G208" s="19"/>
      <c r="H208" s="19"/>
      <c r="I208" s="19">
        <f>491002+430+10160</f>
        <v>501592</v>
      </c>
      <c r="J208" s="50"/>
      <c r="K208" s="50"/>
      <c r="L208" s="50"/>
      <c r="M208" s="50"/>
      <c r="N208" s="50"/>
      <c r="O208" s="50"/>
      <c r="P208" s="120">
        <f t="shared" si="31"/>
        <v>501592</v>
      </c>
      <c r="Q208" s="170"/>
      <c r="R208" s="170"/>
      <c r="S208" s="180"/>
      <c r="T208" s="186"/>
    </row>
    <row r="209" spans="1:20" ht="15">
      <c r="A209" s="49" t="s">
        <v>215</v>
      </c>
      <c r="B209" s="24" t="s">
        <v>131</v>
      </c>
      <c r="C209" s="50"/>
      <c r="D209" s="19"/>
      <c r="E209" s="50"/>
      <c r="F209" s="50"/>
      <c r="G209" s="19"/>
      <c r="H209" s="19"/>
      <c r="I209" s="19"/>
      <c r="J209" s="19">
        <v>791380</v>
      </c>
      <c r="K209" s="50"/>
      <c r="L209" s="50"/>
      <c r="M209" s="50"/>
      <c r="N209" s="50"/>
      <c r="O209" s="50"/>
      <c r="P209" s="120">
        <f t="shared" si="31"/>
        <v>791380</v>
      </c>
      <c r="Q209" s="170"/>
      <c r="R209" s="170"/>
      <c r="S209" s="180"/>
      <c r="T209" s="186"/>
    </row>
    <row r="210" spans="1:20" ht="15">
      <c r="A210" s="49" t="s">
        <v>216</v>
      </c>
      <c r="B210" s="24" t="s">
        <v>239</v>
      </c>
      <c r="C210" s="50"/>
      <c r="D210" s="19"/>
      <c r="E210" s="50"/>
      <c r="F210" s="50"/>
      <c r="G210" s="19"/>
      <c r="H210" s="19"/>
      <c r="I210" s="19"/>
      <c r="J210" s="50"/>
      <c r="K210" s="50"/>
      <c r="L210" s="50">
        <v>9709</v>
      </c>
      <c r="M210" s="201">
        <v>29940</v>
      </c>
      <c r="N210" s="54">
        <f>714027-10160</f>
        <v>703867</v>
      </c>
      <c r="O210" s="50"/>
      <c r="P210" s="120">
        <f t="shared" si="31"/>
        <v>743516</v>
      </c>
      <c r="Q210" s="170"/>
      <c r="R210" s="170"/>
      <c r="S210" s="180"/>
      <c r="T210" s="186"/>
    </row>
    <row r="211" spans="1:20" ht="15">
      <c r="A211" s="49" t="s">
        <v>217</v>
      </c>
      <c r="B211" s="24" t="s">
        <v>133</v>
      </c>
      <c r="C211" s="50"/>
      <c r="D211" s="19"/>
      <c r="E211" s="50"/>
      <c r="F211" s="50"/>
      <c r="G211" s="207">
        <f>1253975+21110</f>
        <v>1275085</v>
      </c>
      <c r="H211" s="19"/>
      <c r="I211" s="19"/>
      <c r="J211" s="50"/>
      <c r="K211" s="50"/>
      <c r="L211" s="50"/>
      <c r="M211" s="50"/>
      <c r="N211" s="50"/>
      <c r="O211" s="50"/>
      <c r="P211" s="120">
        <f t="shared" si="31"/>
        <v>1275085</v>
      </c>
      <c r="Q211" s="170"/>
      <c r="R211" s="170"/>
      <c r="S211" s="180"/>
      <c r="T211" s="186"/>
    </row>
    <row r="212" spans="1:20" ht="30">
      <c r="A212" s="139" t="s">
        <v>360</v>
      </c>
      <c r="B212" s="24" t="s">
        <v>359</v>
      </c>
      <c r="C212" s="50">
        <f>160000</f>
        <v>160000</v>
      </c>
      <c r="D212" s="50"/>
      <c r="E212" s="50"/>
      <c r="F212" s="50"/>
      <c r="G212" s="204"/>
      <c r="H212" s="50"/>
      <c r="I212" s="50"/>
      <c r="J212" s="50"/>
      <c r="K212" s="50"/>
      <c r="L212" s="50"/>
      <c r="M212" s="50"/>
      <c r="N212" s="50"/>
      <c r="O212" s="50"/>
      <c r="P212" s="120">
        <f t="shared" si="31"/>
        <v>160000</v>
      </c>
      <c r="Q212" s="170"/>
      <c r="R212" s="170"/>
      <c r="S212" s="180"/>
      <c r="T212" s="186"/>
    </row>
    <row r="213" spans="1:20" s="182" customFormat="1" ht="15">
      <c r="A213" s="139" t="s">
        <v>609</v>
      </c>
      <c r="B213" s="24" t="s">
        <v>696</v>
      </c>
      <c r="C213" s="50">
        <f>486220+452262+17736+5499+3745+4873+5588+215+4687+276127+10793</f>
        <v>1267745</v>
      </c>
      <c r="D213" s="50"/>
      <c r="E213" s="50"/>
      <c r="F213" s="50"/>
      <c r="G213" s="207"/>
      <c r="H213" s="19"/>
      <c r="I213" s="19"/>
      <c r="J213" s="50"/>
      <c r="K213" s="50"/>
      <c r="L213" s="50"/>
      <c r="M213" s="50"/>
      <c r="N213" s="50"/>
      <c r="O213" s="50"/>
      <c r="P213" s="120">
        <f t="shared" si="31"/>
        <v>1267745</v>
      </c>
      <c r="Q213" s="170"/>
      <c r="R213" s="170"/>
      <c r="S213" s="180"/>
      <c r="T213" s="186"/>
    </row>
    <row r="214" spans="1:20" ht="15">
      <c r="A214" s="139" t="s">
        <v>610</v>
      </c>
      <c r="B214" s="24" t="s">
        <v>611</v>
      </c>
      <c r="C214" s="50">
        <f>247484+115319-3000+1338+1534+204+3000+77583+5016</f>
        <v>448478</v>
      </c>
      <c r="D214" s="50"/>
      <c r="E214" s="50"/>
      <c r="F214" s="50"/>
      <c r="G214" s="207"/>
      <c r="H214" s="19"/>
      <c r="I214" s="19"/>
      <c r="J214" s="50"/>
      <c r="K214" s="50"/>
      <c r="L214" s="50"/>
      <c r="M214" s="50"/>
      <c r="N214" s="50"/>
      <c r="O214" s="50"/>
      <c r="P214" s="120">
        <f t="shared" si="31"/>
        <v>448478</v>
      </c>
      <c r="Q214" s="170"/>
      <c r="R214" s="170"/>
      <c r="S214" s="180"/>
      <c r="T214" s="186"/>
    </row>
    <row r="215" spans="1:20" ht="15">
      <c r="A215" s="139" t="s">
        <v>612</v>
      </c>
      <c r="B215" s="24" t="s">
        <v>613</v>
      </c>
      <c r="C215" s="50">
        <f>445277-460+2791+384816+9752+3696+31764+696+144821+4258+4883+74+2769+22580+197096+17440+5362</f>
        <v>1277615</v>
      </c>
      <c r="D215" s="50"/>
      <c r="E215" s="50"/>
      <c r="F215" s="50"/>
      <c r="G215" s="207"/>
      <c r="H215" s="19"/>
      <c r="I215" s="19"/>
      <c r="J215" s="50"/>
      <c r="K215" s="50"/>
      <c r="L215" s="50"/>
      <c r="M215" s="50"/>
      <c r="N215" s="50"/>
      <c r="O215" s="50"/>
      <c r="P215" s="120">
        <f t="shared" si="31"/>
        <v>1277615</v>
      </c>
      <c r="Q215" s="170"/>
      <c r="R215" s="170"/>
      <c r="S215" s="180"/>
      <c r="T215" s="186"/>
    </row>
    <row r="216" spans="1:20" ht="15">
      <c r="A216" s="139" t="s">
        <v>614</v>
      </c>
      <c r="B216" s="24" t="s">
        <v>615</v>
      </c>
      <c r="C216" s="50">
        <f>673348+9000+1694+1943+149+2064+278+79962+10972+4475</f>
        <v>783885</v>
      </c>
      <c r="D216" s="50"/>
      <c r="E216" s="50"/>
      <c r="F216" s="50"/>
      <c r="G216" s="207"/>
      <c r="H216" s="19"/>
      <c r="I216" s="19"/>
      <c r="J216" s="50"/>
      <c r="K216" s="50"/>
      <c r="L216" s="50"/>
      <c r="M216" s="50"/>
      <c r="N216" s="50"/>
      <c r="O216" s="50"/>
      <c r="P216" s="120">
        <f t="shared" si="31"/>
        <v>783885</v>
      </c>
      <c r="Q216" s="170"/>
      <c r="R216" s="170"/>
      <c r="S216" s="180"/>
      <c r="T216" s="186"/>
    </row>
    <row r="217" spans="1:20" ht="15">
      <c r="A217" s="139" t="s">
        <v>616</v>
      </c>
      <c r="B217" s="24" t="s">
        <v>384</v>
      </c>
      <c r="C217" s="123">
        <f>622230+188018+1811+2078+170+3308+974+87944+15768+6774</f>
        <v>929075</v>
      </c>
      <c r="D217" s="50"/>
      <c r="E217" s="50"/>
      <c r="F217" s="50"/>
      <c r="G217" s="207"/>
      <c r="H217" s="19"/>
      <c r="I217" s="19"/>
      <c r="J217" s="50"/>
      <c r="K217" s="50"/>
      <c r="L217" s="50"/>
      <c r="M217" s="50"/>
      <c r="N217" s="50"/>
      <c r="O217" s="50"/>
      <c r="P217" s="120">
        <f t="shared" si="31"/>
        <v>929075</v>
      </c>
      <c r="Q217" s="170"/>
      <c r="R217" s="170"/>
      <c r="S217" s="180"/>
      <c r="T217" s="186"/>
    </row>
    <row r="218" spans="1:20" ht="15">
      <c r="A218" s="139" t="s">
        <v>617</v>
      </c>
      <c r="B218" s="24" t="s">
        <v>385</v>
      </c>
      <c r="C218" s="50">
        <f>9400+171293+248832+2622-7500+2634+6042+1511+32+214391+1751-6900+679</f>
        <v>644787</v>
      </c>
      <c r="D218" s="50"/>
      <c r="E218" s="50"/>
      <c r="F218" s="50"/>
      <c r="G218" s="207"/>
      <c r="H218" s="19"/>
      <c r="I218" s="19"/>
      <c r="J218" s="50"/>
      <c r="K218" s="50"/>
      <c r="L218" s="50"/>
      <c r="M218" s="50"/>
      <c r="N218" s="50"/>
      <c r="O218" s="50"/>
      <c r="P218" s="120">
        <f t="shared" si="31"/>
        <v>644787</v>
      </c>
      <c r="Q218" s="170"/>
      <c r="R218" s="170"/>
      <c r="S218" s="180"/>
      <c r="T218" s="186"/>
    </row>
    <row r="219" spans="1:20" ht="15">
      <c r="A219" s="139" t="s">
        <v>618</v>
      </c>
      <c r="B219" s="24" t="s">
        <v>619</v>
      </c>
      <c r="C219" s="50">
        <f>446944+591333+44976+6318+7246+181+15626+312730+7337</f>
        <v>1432691</v>
      </c>
      <c r="D219" s="50"/>
      <c r="E219" s="50"/>
      <c r="F219" s="50"/>
      <c r="G219" s="207"/>
      <c r="H219" s="19"/>
      <c r="I219" s="19"/>
      <c r="J219" s="50"/>
      <c r="K219" s="50"/>
      <c r="L219" s="50"/>
      <c r="M219" s="50"/>
      <c r="N219" s="50"/>
      <c r="O219" s="50"/>
      <c r="P219" s="120">
        <f t="shared" si="31"/>
        <v>1432691</v>
      </c>
      <c r="Q219" s="170"/>
      <c r="R219" s="170"/>
      <c r="S219" s="180"/>
      <c r="T219" s="186"/>
    </row>
    <row r="220" spans="1:20" ht="15">
      <c r="A220" s="139" t="s">
        <v>620</v>
      </c>
      <c r="B220" s="24" t="s">
        <v>399</v>
      </c>
      <c r="C220" s="50">
        <f>1010713+1134445+17800+11747+13472+464+5593+661564+26057</f>
        <v>2881855</v>
      </c>
      <c r="D220" s="50"/>
      <c r="E220" s="50"/>
      <c r="F220" s="50"/>
      <c r="G220" s="55"/>
      <c r="H220" s="19"/>
      <c r="I220" s="19"/>
      <c r="J220" s="50"/>
      <c r="K220" s="50"/>
      <c r="L220" s="50"/>
      <c r="M220" s="50"/>
      <c r="N220" s="50"/>
      <c r="O220" s="50"/>
      <c r="P220" s="120">
        <f t="shared" si="31"/>
        <v>2881855</v>
      </c>
      <c r="Q220" s="170"/>
      <c r="R220" s="170"/>
      <c r="S220" s="180"/>
      <c r="T220" s="186"/>
    </row>
    <row r="221" spans="1:20" ht="15">
      <c r="A221" s="139" t="s">
        <v>692</v>
      </c>
      <c r="B221" s="24" t="s">
        <v>693</v>
      </c>
      <c r="C221" s="50">
        <f>170253+460418+12284+2129</f>
        <v>645084</v>
      </c>
      <c r="D221" s="50"/>
      <c r="E221" s="50"/>
      <c r="F221" s="50"/>
      <c r="G221" s="204"/>
      <c r="H221" s="50"/>
      <c r="I221" s="50"/>
      <c r="J221" s="50"/>
      <c r="K221" s="50"/>
      <c r="L221" s="50"/>
      <c r="M221" s="50"/>
      <c r="N221" s="50"/>
      <c r="O221" s="50"/>
      <c r="P221" s="120">
        <f t="shared" si="31"/>
        <v>645084</v>
      </c>
      <c r="Q221" s="170"/>
      <c r="R221" s="170"/>
      <c r="S221" s="180"/>
      <c r="T221" s="186"/>
    </row>
    <row r="222" spans="1:20" ht="29.25">
      <c r="A222" s="119" t="s">
        <v>101</v>
      </c>
      <c r="B222" s="82" t="s">
        <v>102</v>
      </c>
      <c r="C222" s="85">
        <f>SUM(C223:C231)</f>
        <v>4549748</v>
      </c>
      <c r="D222" s="85">
        <f aca="true" t="shared" si="34" ref="D222:O222">SUM(D223:D231)</f>
        <v>0</v>
      </c>
      <c r="E222" s="85">
        <f t="shared" si="34"/>
        <v>0</v>
      </c>
      <c r="F222" s="85">
        <f t="shared" si="34"/>
        <v>0</v>
      </c>
      <c r="G222" s="85">
        <f t="shared" si="34"/>
        <v>0</v>
      </c>
      <c r="H222" s="85">
        <f t="shared" si="34"/>
        <v>0</v>
      </c>
      <c r="I222" s="85">
        <f t="shared" si="34"/>
        <v>0</v>
      </c>
      <c r="J222" s="85">
        <f t="shared" si="34"/>
        <v>248888</v>
      </c>
      <c r="K222" s="85">
        <f t="shared" si="34"/>
        <v>0</v>
      </c>
      <c r="L222" s="85">
        <f t="shared" si="34"/>
        <v>0</v>
      </c>
      <c r="M222" s="85">
        <f t="shared" si="34"/>
        <v>0</v>
      </c>
      <c r="N222" s="85">
        <f t="shared" si="34"/>
        <v>0</v>
      </c>
      <c r="O222" s="85">
        <f t="shared" si="34"/>
        <v>0</v>
      </c>
      <c r="P222" s="120">
        <f t="shared" si="31"/>
        <v>4798636</v>
      </c>
      <c r="Q222" s="170"/>
      <c r="R222" s="170"/>
      <c r="S222" s="180"/>
      <c r="T222" s="186"/>
    </row>
    <row r="223" spans="1:20" ht="15">
      <c r="A223" s="49" t="s">
        <v>218</v>
      </c>
      <c r="B223" s="24" t="s">
        <v>8</v>
      </c>
      <c r="C223" s="50">
        <f>979324+2137+2858+79445+41175+8091</f>
        <v>1113030</v>
      </c>
      <c r="D223" s="19"/>
      <c r="E223" s="50"/>
      <c r="F223" s="50"/>
      <c r="G223" s="19"/>
      <c r="H223" s="19"/>
      <c r="I223" s="19"/>
      <c r="J223" s="19"/>
      <c r="K223" s="19"/>
      <c r="L223" s="19"/>
      <c r="M223" s="19"/>
      <c r="N223" s="50"/>
      <c r="O223" s="50"/>
      <c r="P223" s="120">
        <f t="shared" si="31"/>
        <v>1113030</v>
      </c>
      <c r="Q223" s="170"/>
      <c r="R223" s="170"/>
      <c r="S223" s="180"/>
      <c r="T223" s="186"/>
    </row>
    <row r="224" spans="1:20" ht="15">
      <c r="A224" s="49" t="s">
        <v>219</v>
      </c>
      <c r="B224" s="24" t="s">
        <v>110</v>
      </c>
      <c r="C224" s="50">
        <f>251087+152113+19000+1843+1400+5483</f>
        <v>430926</v>
      </c>
      <c r="D224" s="19"/>
      <c r="E224" s="50"/>
      <c r="F224" s="50"/>
      <c r="G224" s="19"/>
      <c r="H224" s="19"/>
      <c r="I224" s="19"/>
      <c r="J224" s="19"/>
      <c r="K224" s="19"/>
      <c r="L224" s="19"/>
      <c r="M224" s="19"/>
      <c r="N224" s="50"/>
      <c r="O224" s="50"/>
      <c r="P224" s="120">
        <f t="shared" si="31"/>
        <v>430926</v>
      </c>
      <c r="Q224" s="170"/>
      <c r="R224" s="170"/>
      <c r="S224" s="180"/>
      <c r="T224" s="186"/>
    </row>
    <row r="225" spans="1:20" ht="15">
      <c r="A225" s="49" t="s">
        <v>220</v>
      </c>
      <c r="B225" s="24" t="s">
        <v>386</v>
      </c>
      <c r="C225" s="19">
        <f>311091+77968+29926+972+9600+7834+2363</f>
        <v>439754</v>
      </c>
      <c r="D225" s="19"/>
      <c r="E225" s="50"/>
      <c r="F225" s="50"/>
      <c r="G225" s="19"/>
      <c r="H225" s="19"/>
      <c r="I225" s="19"/>
      <c r="J225" s="19"/>
      <c r="K225" s="19"/>
      <c r="L225" s="19"/>
      <c r="M225" s="19"/>
      <c r="N225" s="50"/>
      <c r="O225" s="50"/>
      <c r="P225" s="120">
        <f aca="true" t="shared" si="35" ref="P225:P230">SUM(C225:O225)</f>
        <v>439754</v>
      </c>
      <c r="Q225" s="170"/>
      <c r="R225" s="170"/>
      <c r="S225" s="180"/>
      <c r="T225" s="186"/>
    </row>
    <row r="226" spans="1:20" ht="15">
      <c r="A226" s="49" t="s">
        <v>221</v>
      </c>
      <c r="B226" s="24" t="s">
        <v>134</v>
      </c>
      <c r="C226" s="261"/>
      <c r="D226" s="19"/>
      <c r="E226" s="50"/>
      <c r="F226" s="50"/>
      <c r="G226" s="19"/>
      <c r="H226" s="19"/>
      <c r="I226" s="19"/>
      <c r="J226" s="19">
        <v>248888</v>
      </c>
      <c r="K226" s="19"/>
      <c r="L226" s="19"/>
      <c r="M226" s="19"/>
      <c r="N226" s="50"/>
      <c r="O226" s="50"/>
      <c r="P226" s="120">
        <f t="shared" si="35"/>
        <v>248888</v>
      </c>
      <c r="Q226" s="170"/>
      <c r="R226" s="170"/>
      <c r="S226" s="180"/>
      <c r="T226" s="186"/>
    </row>
    <row r="227" spans="1:20" ht="15">
      <c r="A227" s="49" t="s">
        <v>341</v>
      </c>
      <c r="B227" s="24" t="s">
        <v>342</v>
      </c>
      <c r="C227" s="19">
        <f>1239273+6180+6300+7421+15538</f>
        <v>1274712</v>
      </c>
      <c r="D227" s="19"/>
      <c r="E227" s="50"/>
      <c r="F227" s="50"/>
      <c r="G227" s="19"/>
      <c r="H227" s="19"/>
      <c r="I227" s="19"/>
      <c r="J227" s="3"/>
      <c r="K227" s="19"/>
      <c r="L227" s="19"/>
      <c r="M227" s="19"/>
      <c r="N227" s="50"/>
      <c r="O227" s="50"/>
      <c r="P227" s="120">
        <f t="shared" si="35"/>
        <v>1274712</v>
      </c>
      <c r="Q227" s="170"/>
      <c r="R227" s="170"/>
      <c r="S227" s="180"/>
      <c r="T227" s="186"/>
    </row>
    <row r="228" spans="1:20" ht="15">
      <c r="A228" s="49" t="s">
        <v>621</v>
      </c>
      <c r="B228" s="24" t="s">
        <v>380</v>
      </c>
      <c r="C228" s="19">
        <f>90519+459+92618+997+2604</f>
        <v>187197</v>
      </c>
      <c r="D228" s="19"/>
      <c r="E228" s="50"/>
      <c r="F228" s="50"/>
      <c r="G228" s="19"/>
      <c r="H228" s="19"/>
      <c r="I228" s="19"/>
      <c r="J228" s="3"/>
      <c r="K228" s="19"/>
      <c r="L228" s="19"/>
      <c r="M228" s="19"/>
      <c r="N228" s="50"/>
      <c r="O228" s="50"/>
      <c r="P228" s="120">
        <f t="shared" si="35"/>
        <v>187197</v>
      </c>
      <c r="Q228" s="170"/>
      <c r="R228" s="170"/>
      <c r="S228" s="180"/>
      <c r="T228" s="186"/>
    </row>
    <row r="229" spans="1:20" ht="15">
      <c r="A229" s="49" t="s">
        <v>622</v>
      </c>
      <c r="B229" s="24" t="s">
        <v>387</v>
      </c>
      <c r="C229" s="19">
        <f>259935+198220+5347+2408+2718+5106+5228</f>
        <v>478962</v>
      </c>
      <c r="D229" s="19"/>
      <c r="E229" s="50"/>
      <c r="F229" s="50"/>
      <c r="G229" s="19"/>
      <c r="H229" s="19"/>
      <c r="I229" s="19"/>
      <c r="J229" s="3"/>
      <c r="K229" s="19"/>
      <c r="L229" s="19"/>
      <c r="M229" s="19"/>
      <c r="N229" s="50"/>
      <c r="O229" s="50"/>
      <c r="P229" s="120">
        <f t="shared" si="35"/>
        <v>478962</v>
      </c>
      <c r="Q229" s="170"/>
      <c r="R229" s="170"/>
      <c r="S229" s="180"/>
      <c r="T229" s="186"/>
    </row>
    <row r="230" spans="1:20" ht="15">
      <c r="A230" s="49" t="s">
        <v>623</v>
      </c>
      <c r="B230" s="24" t="s">
        <v>400</v>
      </c>
      <c r="C230" s="19">
        <f>272081+177236+12906+4500+2267+1500+4984</f>
        <v>475474</v>
      </c>
      <c r="D230" s="19"/>
      <c r="E230" s="50"/>
      <c r="F230" s="50"/>
      <c r="G230" s="19"/>
      <c r="H230" s="19"/>
      <c r="I230" s="19"/>
      <c r="J230" s="3"/>
      <c r="K230" s="19"/>
      <c r="L230" s="19"/>
      <c r="M230" s="19"/>
      <c r="N230" s="50"/>
      <c r="O230" s="50"/>
      <c r="P230" s="120">
        <f t="shared" si="35"/>
        <v>475474</v>
      </c>
      <c r="Q230" s="170"/>
      <c r="R230" s="170"/>
      <c r="S230" s="180"/>
      <c r="T230" s="186"/>
    </row>
    <row r="231" spans="1:20" ht="30">
      <c r="A231" s="139" t="s">
        <v>101</v>
      </c>
      <c r="B231" s="24" t="s">
        <v>401</v>
      </c>
      <c r="C231" s="19">
        <f>56000+52000+30000+10000+5776+3917-8000</f>
        <v>149693</v>
      </c>
      <c r="D231" s="19"/>
      <c r="E231" s="50"/>
      <c r="F231" s="50"/>
      <c r="G231" s="19"/>
      <c r="H231" s="19"/>
      <c r="I231" s="19"/>
      <c r="J231" s="3"/>
      <c r="K231" s="19"/>
      <c r="L231" s="19"/>
      <c r="M231" s="19"/>
      <c r="N231" s="50"/>
      <c r="O231" s="50"/>
      <c r="P231" s="120">
        <f aca="true" t="shared" si="36" ref="P231:P239">SUM(C231:O231)</f>
        <v>149693</v>
      </c>
      <c r="Q231" s="170"/>
      <c r="R231" s="170"/>
      <c r="S231" s="180"/>
      <c r="T231" s="186"/>
    </row>
    <row r="232" spans="1:20" ht="15">
      <c r="A232" s="119" t="s">
        <v>135</v>
      </c>
      <c r="B232" s="82" t="s">
        <v>136</v>
      </c>
      <c r="C232" s="31">
        <f aca="true" t="shared" si="37" ref="C232:O232">SUM(C233+C235+C238+C239)</f>
        <v>1487230</v>
      </c>
      <c r="D232" s="31">
        <f t="shared" si="37"/>
        <v>0</v>
      </c>
      <c r="E232" s="31">
        <f t="shared" si="37"/>
        <v>0</v>
      </c>
      <c r="F232" s="31">
        <f t="shared" si="37"/>
        <v>0</v>
      </c>
      <c r="G232" s="31">
        <f t="shared" si="37"/>
        <v>141575</v>
      </c>
      <c r="H232" s="31">
        <f t="shared" si="37"/>
        <v>0</v>
      </c>
      <c r="I232" s="31">
        <f t="shared" si="37"/>
        <v>42909</v>
      </c>
      <c r="J232" s="31">
        <f t="shared" si="37"/>
        <v>123655</v>
      </c>
      <c r="K232" s="31">
        <f t="shared" si="37"/>
        <v>47934</v>
      </c>
      <c r="L232" s="31">
        <f t="shared" si="37"/>
        <v>23185</v>
      </c>
      <c r="M232" s="31">
        <f t="shared" si="37"/>
        <v>19259</v>
      </c>
      <c r="N232" s="31">
        <f t="shared" si="37"/>
        <v>27756</v>
      </c>
      <c r="O232" s="85">
        <f t="shared" si="37"/>
        <v>0</v>
      </c>
      <c r="P232" s="120">
        <f t="shared" si="36"/>
        <v>1913503</v>
      </c>
      <c r="Q232" s="170"/>
      <c r="R232" s="170"/>
      <c r="S232" s="180"/>
      <c r="T232" s="186"/>
    </row>
    <row r="233" spans="1:20" ht="15">
      <c r="A233" s="231" t="s">
        <v>624</v>
      </c>
      <c r="B233" s="262" t="s">
        <v>625</v>
      </c>
      <c r="C233" s="151">
        <f aca="true" t="shared" si="38" ref="C233:O233">C234</f>
        <v>292976</v>
      </c>
      <c r="D233" s="151">
        <f t="shared" si="38"/>
        <v>0</v>
      </c>
      <c r="E233" s="151">
        <f t="shared" si="38"/>
        <v>0</v>
      </c>
      <c r="F233" s="85">
        <f t="shared" si="38"/>
        <v>0</v>
      </c>
      <c r="G233" s="85">
        <f t="shared" si="38"/>
        <v>29312</v>
      </c>
      <c r="H233" s="85">
        <f t="shared" si="38"/>
        <v>0</v>
      </c>
      <c r="I233" s="85">
        <f t="shared" si="38"/>
        <v>21770</v>
      </c>
      <c r="J233" s="85">
        <f t="shared" si="38"/>
        <v>17971</v>
      </c>
      <c r="K233" s="85">
        <f>K234</f>
        <v>47934</v>
      </c>
      <c r="L233" s="85">
        <f>L234</f>
        <v>23185</v>
      </c>
      <c r="M233" s="85">
        <f t="shared" si="38"/>
        <v>19259</v>
      </c>
      <c r="N233" s="85">
        <f t="shared" si="38"/>
        <v>18756</v>
      </c>
      <c r="O233" s="85">
        <f t="shared" si="38"/>
        <v>0</v>
      </c>
      <c r="P233" s="120">
        <f t="shared" si="36"/>
        <v>471163</v>
      </c>
      <c r="Q233" s="170"/>
      <c r="R233" s="170"/>
      <c r="S233" s="186"/>
      <c r="T233" s="186"/>
    </row>
    <row r="234" spans="1:20" ht="15">
      <c r="A234" s="139" t="s">
        <v>626</v>
      </c>
      <c r="B234" s="18" t="s">
        <v>625</v>
      </c>
      <c r="C234" s="151">
        <f>161376+117600+14000</f>
        <v>292976</v>
      </c>
      <c r="D234" s="123"/>
      <c r="E234" s="123"/>
      <c r="F234" s="123"/>
      <c r="G234" s="8">
        <v>29312</v>
      </c>
      <c r="H234" s="8"/>
      <c r="I234" s="19">
        <v>21770</v>
      </c>
      <c r="J234" s="123">
        <v>17971</v>
      </c>
      <c r="K234" s="19">
        <v>47934</v>
      </c>
      <c r="L234" s="19">
        <v>23185</v>
      </c>
      <c r="M234" s="19">
        <v>19259</v>
      </c>
      <c r="N234" s="54">
        <v>18756</v>
      </c>
      <c r="O234" s="50"/>
      <c r="P234" s="120">
        <f t="shared" si="36"/>
        <v>471163</v>
      </c>
      <c r="Q234" s="170"/>
      <c r="R234" s="170"/>
      <c r="S234" s="180"/>
      <c r="T234" s="186"/>
    </row>
    <row r="235" spans="1:20" ht="15">
      <c r="A235" s="231" t="s">
        <v>627</v>
      </c>
      <c r="B235" s="262" t="s">
        <v>628</v>
      </c>
      <c r="C235" s="85">
        <f>SUM(C236+C237)</f>
        <v>1194254</v>
      </c>
      <c r="D235" s="85">
        <f aca="true" t="shared" si="39" ref="D235:O235">SUM(D236+D237)</f>
        <v>0</v>
      </c>
      <c r="E235" s="85">
        <f t="shared" si="39"/>
        <v>0</v>
      </c>
      <c r="F235" s="85">
        <f t="shared" si="39"/>
        <v>0</v>
      </c>
      <c r="G235" s="85">
        <f t="shared" si="39"/>
        <v>112263</v>
      </c>
      <c r="H235" s="85">
        <f t="shared" si="39"/>
        <v>0</v>
      </c>
      <c r="I235" s="85">
        <f t="shared" si="39"/>
        <v>21139</v>
      </c>
      <c r="J235" s="85">
        <f t="shared" si="39"/>
        <v>105684</v>
      </c>
      <c r="K235" s="85">
        <f t="shared" si="39"/>
        <v>0</v>
      </c>
      <c r="L235" s="85">
        <f t="shared" si="39"/>
        <v>0</v>
      </c>
      <c r="M235" s="85">
        <f t="shared" si="39"/>
        <v>0</v>
      </c>
      <c r="N235" s="85">
        <f t="shared" si="39"/>
        <v>9000</v>
      </c>
      <c r="O235" s="85">
        <f t="shared" si="39"/>
        <v>0</v>
      </c>
      <c r="P235" s="120">
        <f t="shared" si="36"/>
        <v>1442340</v>
      </c>
      <c r="Q235" s="170"/>
      <c r="R235" s="170"/>
      <c r="S235" s="180"/>
      <c r="T235" s="186"/>
    </row>
    <row r="236" spans="1:20" ht="15">
      <c r="A236" s="139" t="s">
        <v>629</v>
      </c>
      <c r="B236" s="18" t="s">
        <v>630</v>
      </c>
      <c r="C236" s="50">
        <v>252427</v>
      </c>
      <c r="D236" s="50"/>
      <c r="E236" s="50"/>
      <c r="F236" s="50"/>
      <c r="G236" s="19"/>
      <c r="H236" s="19"/>
      <c r="I236" s="19"/>
      <c r="J236" s="19">
        <v>25600</v>
      </c>
      <c r="K236" s="19"/>
      <c r="L236" s="50"/>
      <c r="M236" s="50"/>
      <c r="N236" s="50"/>
      <c r="O236" s="50"/>
      <c r="P236" s="120">
        <f t="shared" si="36"/>
        <v>278027</v>
      </c>
      <c r="Q236" s="170"/>
      <c r="R236" s="170"/>
      <c r="S236" s="180"/>
      <c r="T236" s="186"/>
    </row>
    <row r="237" spans="1:20" ht="15">
      <c r="A237" s="139" t="s">
        <v>631</v>
      </c>
      <c r="B237" s="18" t="s">
        <v>632</v>
      </c>
      <c r="C237" s="50">
        <f>906937+9990+24900</f>
        <v>941827</v>
      </c>
      <c r="D237" s="50"/>
      <c r="E237" s="50"/>
      <c r="F237" s="50"/>
      <c r="G237" s="19">
        <v>112263</v>
      </c>
      <c r="H237" s="19"/>
      <c r="I237" s="19">
        <v>21139</v>
      </c>
      <c r="J237" s="50">
        <v>80084</v>
      </c>
      <c r="K237" s="50"/>
      <c r="L237" s="50"/>
      <c r="M237" s="50"/>
      <c r="N237" s="50">
        <v>9000</v>
      </c>
      <c r="O237" s="50"/>
      <c r="P237" s="120">
        <f t="shared" si="36"/>
        <v>1164313</v>
      </c>
      <c r="Q237" s="170"/>
      <c r="R237" s="170"/>
      <c r="S237" s="180"/>
      <c r="T237" s="186"/>
    </row>
    <row r="238" spans="1:20" ht="15">
      <c r="A238" s="253" t="s">
        <v>633</v>
      </c>
      <c r="B238" s="4" t="s">
        <v>634</v>
      </c>
      <c r="C238" s="245"/>
      <c r="D238" s="50"/>
      <c r="E238" s="50"/>
      <c r="F238" s="50"/>
      <c r="G238" s="19"/>
      <c r="H238" s="19"/>
      <c r="I238" s="19"/>
      <c r="J238" s="50"/>
      <c r="K238" s="50"/>
      <c r="L238" s="50"/>
      <c r="M238" s="50"/>
      <c r="N238" s="50"/>
      <c r="O238" s="50"/>
      <c r="P238" s="120">
        <f t="shared" si="36"/>
        <v>0</v>
      </c>
      <c r="Q238" s="170"/>
      <c r="R238" s="170"/>
      <c r="S238" s="180"/>
      <c r="T238" s="186"/>
    </row>
    <row r="239" spans="1:20" ht="15">
      <c r="A239" s="253" t="s">
        <v>635</v>
      </c>
      <c r="B239" s="4" t="s">
        <v>636</v>
      </c>
      <c r="C239" s="245"/>
      <c r="D239" s="50"/>
      <c r="E239" s="50"/>
      <c r="F239" s="50"/>
      <c r="G239" s="19"/>
      <c r="H239" s="19"/>
      <c r="I239" s="19"/>
      <c r="J239" s="50"/>
      <c r="K239" s="50"/>
      <c r="L239" s="50"/>
      <c r="M239" s="50"/>
      <c r="N239" s="50"/>
      <c r="O239" s="50"/>
      <c r="P239" s="120">
        <f t="shared" si="36"/>
        <v>0</v>
      </c>
      <c r="Q239" s="170"/>
      <c r="R239" s="170"/>
      <c r="S239" s="180"/>
      <c r="T239" s="186"/>
    </row>
    <row r="240" spans="1:20" ht="29.25">
      <c r="A240" s="119" t="s">
        <v>337</v>
      </c>
      <c r="B240" s="82" t="s">
        <v>338</v>
      </c>
      <c r="C240" s="85">
        <f>647096+8000+21906+12277+121342</f>
        <v>810621</v>
      </c>
      <c r="D240" s="85"/>
      <c r="E240" s="85"/>
      <c r="F240" s="85"/>
      <c r="G240" s="31"/>
      <c r="H240" s="31"/>
      <c r="I240" s="31"/>
      <c r="J240" s="85"/>
      <c r="K240" s="85"/>
      <c r="L240" s="85"/>
      <c r="M240" s="85"/>
      <c r="N240" s="85"/>
      <c r="O240" s="85"/>
      <c r="P240" s="120">
        <f>SUM(C240:O240)</f>
        <v>810621</v>
      </c>
      <c r="Q240" s="170"/>
      <c r="R240" s="170"/>
      <c r="S240" s="180"/>
      <c r="T240" s="186"/>
    </row>
    <row r="241" spans="1:20" ht="30" thickBot="1">
      <c r="A241" s="154" t="s">
        <v>103</v>
      </c>
      <c r="B241" s="155" t="s">
        <v>222</v>
      </c>
      <c r="C241" s="156">
        <f aca="true" t="shared" si="40" ref="C241:P241">SUM(C242:C283)</f>
        <v>28979322</v>
      </c>
      <c r="D241" s="156">
        <f t="shared" si="40"/>
        <v>0</v>
      </c>
      <c r="E241" s="156">
        <f t="shared" si="40"/>
        <v>0</v>
      </c>
      <c r="F241" s="156">
        <f t="shared" si="40"/>
        <v>0</v>
      </c>
      <c r="G241" s="156">
        <f t="shared" si="40"/>
        <v>0</v>
      </c>
      <c r="H241" s="156">
        <f t="shared" si="40"/>
        <v>0</v>
      </c>
      <c r="I241" s="156">
        <f t="shared" si="40"/>
        <v>8949</v>
      </c>
      <c r="J241" s="156">
        <f t="shared" si="40"/>
        <v>120469</v>
      </c>
      <c r="K241" s="156">
        <f t="shared" si="40"/>
        <v>0</v>
      </c>
      <c r="L241" s="156">
        <f t="shared" si="40"/>
        <v>0</v>
      </c>
      <c r="M241" s="156">
        <f t="shared" si="40"/>
        <v>0</v>
      </c>
      <c r="N241" s="156">
        <f t="shared" si="40"/>
        <v>1200</v>
      </c>
      <c r="O241" s="156">
        <f t="shared" si="40"/>
        <v>0</v>
      </c>
      <c r="P241" s="130">
        <f t="shared" si="40"/>
        <v>29109940</v>
      </c>
      <c r="Q241" s="170"/>
      <c r="R241" s="170"/>
      <c r="S241" s="180"/>
      <c r="T241" s="186"/>
    </row>
    <row r="242" spans="1:20" ht="30">
      <c r="A242" s="136" t="s">
        <v>282</v>
      </c>
      <c r="B242" s="33" t="s">
        <v>283</v>
      </c>
      <c r="C242" s="73">
        <f>37819+14282-116</f>
        <v>51985</v>
      </c>
      <c r="D242" s="135"/>
      <c r="E242" s="135"/>
      <c r="F242" s="135"/>
      <c r="G242" s="152"/>
      <c r="H242" s="152"/>
      <c r="I242" s="152"/>
      <c r="J242" s="135"/>
      <c r="K242" s="135"/>
      <c r="L242" s="135"/>
      <c r="M242" s="135"/>
      <c r="N242" s="165"/>
      <c r="O242" s="114"/>
      <c r="P242" s="117">
        <f aca="true" t="shared" si="41" ref="P242:P303">SUM(C242:O242)</f>
        <v>51985</v>
      </c>
      <c r="Q242" s="170"/>
      <c r="R242" s="170"/>
      <c r="S242" s="180"/>
      <c r="T242" s="186"/>
    </row>
    <row r="243" spans="1:20" ht="30">
      <c r="A243" s="158" t="s">
        <v>299</v>
      </c>
      <c r="B243" s="159" t="s">
        <v>300</v>
      </c>
      <c r="C243" s="19">
        <f>393000-1200</f>
        <v>391800</v>
      </c>
      <c r="D243" s="31"/>
      <c r="E243" s="31"/>
      <c r="F243" s="31"/>
      <c r="G243" s="31"/>
      <c r="H243" s="31"/>
      <c r="I243" s="31">
        <v>2576</v>
      </c>
      <c r="J243" s="31">
        <v>1647</v>
      </c>
      <c r="K243" s="31"/>
      <c r="L243" s="31"/>
      <c r="M243" s="31"/>
      <c r="N243" s="85"/>
      <c r="O243" s="85"/>
      <c r="P243" s="120">
        <f>SUM(C243:O243)</f>
        <v>396023</v>
      </c>
      <c r="Q243" s="170"/>
      <c r="R243" s="170"/>
      <c r="S243" s="180"/>
      <c r="T243" s="186"/>
    </row>
    <row r="244" spans="1:20" ht="15.75">
      <c r="A244" s="158" t="s">
        <v>315</v>
      </c>
      <c r="B244" s="160" t="s">
        <v>316</v>
      </c>
      <c r="C244" s="19">
        <v>67380</v>
      </c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85"/>
      <c r="O244" s="85"/>
      <c r="P244" s="120">
        <f t="shared" si="41"/>
        <v>67380</v>
      </c>
      <c r="Q244" s="170"/>
      <c r="R244" s="170"/>
      <c r="S244" s="180"/>
      <c r="T244" s="186"/>
    </row>
    <row r="245" spans="1:20" ht="31.5">
      <c r="A245" s="158" t="s">
        <v>317</v>
      </c>
      <c r="B245" s="161" t="s">
        <v>318</v>
      </c>
      <c r="C245" s="19">
        <v>634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85"/>
      <c r="O245" s="85"/>
      <c r="P245" s="120">
        <f t="shared" si="41"/>
        <v>634</v>
      </c>
      <c r="Q245" s="170"/>
      <c r="R245" s="170"/>
      <c r="S245" s="180"/>
      <c r="T245" s="186"/>
    </row>
    <row r="246" spans="1:20" ht="47.25">
      <c r="A246" s="158" t="s">
        <v>319</v>
      </c>
      <c r="B246" s="162" t="s">
        <v>320</v>
      </c>
      <c r="C246" s="50">
        <v>2011</v>
      </c>
      <c r="D246" s="19"/>
      <c r="E246" s="50"/>
      <c r="F246" s="50"/>
      <c r="G246" s="19"/>
      <c r="H246" s="19"/>
      <c r="I246" s="19"/>
      <c r="J246" s="19"/>
      <c r="K246" s="19"/>
      <c r="L246" s="19"/>
      <c r="M246" s="19"/>
      <c r="N246" s="50"/>
      <c r="O246" s="50"/>
      <c r="P246" s="120">
        <f t="shared" si="41"/>
        <v>2011</v>
      </c>
      <c r="Q246" s="170"/>
      <c r="R246" s="170"/>
      <c r="S246" s="180"/>
      <c r="T246" s="186"/>
    </row>
    <row r="247" spans="1:20" ht="31.5">
      <c r="A247" s="158" t="s">
        <v>321</v>
      </c>
      <c r="B247" s="160" t="s">
        <v>637</v>
      </c>
      <c r="C247" s="50">
        <v>10000</v>
      </c>
      <c r="D247" s="19"/>
      <c r="E247" s="50"/>
      <c r="F247" s="50"/>
      <c r="G247" s="19"/>
      <c r="H247" s="19"/>
      <c r="I247" s="19"/>
      <c r="J247" s="19"/>
      <c r="K247" s="19"/>
      <c r="L247" s="19"/>
      <c r="M247" s="19"/>
      <c r="N247" s="50"/>
      <c r="O247" s="50"/>
      <c r="P247" s="120">
        <f t="shared" si="41"/>
        <v>10000</v>
      </c>
      <c r="Q247" s="170"/>
      <c r="R247" s="170"/>
      <c r="S247" s="180"/>
      <c r="T247" s="186"/>
    </row>
    <row r="248" spans="1:20" ht="60">
      <c r="A248" s="158" t="s">
        <v>327</v>
      </c>
      <c r="B248" s="138" t="s">
        <v>326</v>
      </c>
      <c r="C248" s="50">
        <v>2270</v>
      </c>
      <c r="D248" s="19"/>
      <c r="E248" s="50"/>
      <c r="F248" s="50"/>
      <c r="G248" s="19"/>
      <c r="H248" s="19"/>
      <c r="I248" s="19"/>
      <c r="J248" s="19"/>
      <c r="K248" s="19"/>
      <c r="L248" s="19"/>
      <c r="M248" s="19"/>
      <c r="N248" s="50"/>
      <c r="O248" s="50"/>
      <c r="P248" s="120">
        <f t="shared" si="41"/>
        <v>2270</v>
      </c>
      <c r="Q248" s="170"/>
      <c r="R248" s="170"/>
      <c r="S248" s="180"/>
      <c r="T248" s="186"/>
    </row>
    <row r="249" spans="1:20" ht="45">
      <c r="A249" s="158" t="s">
        <v>638</v>
      </c>
      <c r="B249" s="263" t="s">
        <v>639</v>
      </c>
      <c r="C249" s="50">
        <v>24322</v>
      </c>
      <c r="D249" s="19"/>
      <c r="E249" s="50"/>
      <c r="F249" s="50"/>
      <c r="G249" s="19"/>
      <c r="H249" s="19"/>
      <c r="I249" s="19"/>
      <c r="J249" s="19"/>
      <c r="K249" s="19"/>
      <c r="L249" s="19"/>
      <c r="M249" s="19"/>
      <c r="N249" s="50"/>
      <c r="O249" s="50"/>
      <c r="P249" s="120">
        <f t="shared" si="41"/>
        <v>24322</v>
      </c>
      <c r="Q249" s="170"/>
      <c r="R249" s="170"/>
      <c r="S249" s="180"/>
      <c r="T249" s="186"/>
    </row>
    <row r="250" spans="1:20" ht="45">
      <c r="A250" s="158" t="s">
        <v>640</v>
      </c>
      <c r="B250" s="263" t="s">
        <v>641</v>
      </c>
      <c r="C250" s="50">
        <v>17166</v>
      </c>
      <c r="D250" s="19"/>
      <c r="E250" s="50"/>
      <c r="F250" s="50"/>
      <c r="G250" s="19"/>
      <c r="H250" s="19"/>
      <c r="I250" s="19"/>
      <c r="J250" s="19"/>
      <c r="K250" s="19"/>
      <c r="L250" s="19"/>
      <c r="M250" s="19"/>
      <c r="N250" s="50"/>
      <c r="O250" s="50"/>
      <c r="P250" s="120">
        <f t="shared" si="41"/>
        <v>17166</v>
      </c>
      <c r="Q250" s="170"/>
      <c r="R250" s="170"/>
      <c r="S250" s="180"/>
      <c r="T250" s="186"/>
    </row>
    <row r="251" spans="1:20" ht="45">
      <c r="A251" s="158" t="s">
        <v>642</v>
      </c>
      <c r="B251" s="263" t="s">
        <v>643</v>
      </c>
      <c r="C251" s="50">
        <v>7297</v>
      </c>
      <c r="D251" s="19"/>
      <c r="E251" s="50"/>
      <c r="F251" s="50"/>
      <c r="G251" s="19"/>
      <c r="H251" s="19"/>
      <c r="I251" s="19"/>
      <c r="J251" s="19"/>
      <c r="K251" s="19"/>
      <c r="L251" s="19"/>
      <c r="M251" s="19"/>
      <c r="N251" s="50"/>
      <c r="O251" s="50"/>
      <c r="P251" s="120">
        <f t="shared" si="41"/>
        <v>7297</v>
      </c>
      <c r="Q251" s="170"/>
      <c r="R251" s="170"/>
      <c r="S251" s="180"/>
      <c r="T251" s="186"/>
    </row>
    <row r="252" spans="1:20" ht="45">
      <c r="A252" s="158" t="s">
        <v>644</v>
      </c>
      <c r="B252" s="263" t="s">
        <v>645</v>
      </c>
      <c r="C252" s="50">
        <v>29069</v>
      </c>
      <c r="D252" s="19"/>
      <c r="E252" s="50"/>
      <c r="F252" s="50"/>
      <c r="G252" s="19"/>
      <c r="H252" s="19"/>
      <c r="I252" s="19"/>
      <c r="J252" s="19"/>
      <c r="K252" s="19"/>
      <c r="L252" s="19"/>
      <c r="M252" s="19"/>
      <c r="N252" s="50"/>
      <c r="O252" s="50"/>
      <c r="P252" s="120">
        <f t="shared" si="41"/>
        <v>29069</v>
      </c>
      <c r="Q252" s="170"/>
      <c r="R252" s="170"/>
      <c r="S252" s="180"/>
      <c r="T252" s="186"/>
    </row>
    <row r="253" spans="1:20" ht="45">
      <c r="A253" s="158" t="s">
        <v>646</v>
      </c>
      <c r="B253" s="263" t="s">
        <v>647</v>
      </c>
      <c r="C253" s="50">
        <v>21729</v>
      </c>
      <c r="D253" s="19"/>
      <c r="E253" s="50"/>
      <c r="F253" s="50"/>
      <c r="G253" s="19"/>
      <c r="H253" s="19"/>
      <c r="I253" s="19"/>
      <c r="J253" s="19"/>
      <c r="K253" s="19"/>
      <c r="L253" s="19"/>
      <c r="M253" s="19"/>
      <c r="N253" s="50"/>
      <c r="O253" s="50"/>
      <c r="P253" s="120">
        <f t="shared" si="41"/>
        <v>21729</v>
      </c>
      <c r="Q253" s="170"/>
      <c r="R253" s="170"/>
      <c r="S253" s="180"/>
      <c r="T253" s="186"/>
    </row>
    <row r="254" spans="1:20" ht="45">
      <c r="A254" s="158" t="s">
        <v>648</v>
      </c>
      <c r="B254" s="263" t="s">
        <v>649</v>
      </c>
      <c r="C254" s="50">
        <v>21079</v>
      </c>
      <c r="D254" s="19"/>
      <c r="E254" s="50"/>
      <c r="F254" s="50"/>
      <c r="G254" s="19"/>
      <c r="H254" s="19"/>
      <c r="I254" s="19"/>
      <c r="J254" s="19"/>
      <c r="K254" s="19"/>
      <c r="L254" s="19"/>
      <c r="M254" s="19"/>
      <c r="N254" s="50"/>
      <c r="O254" s="50"/>
      <c r="P254" s="120">
        <f t="shared" si="41"/>
        <v>21079</v>
      </c>
      <c r="Q254" s="170"/>
      <c r="R254" s="170"/>
      <c r="S254" s="180"/>
      <c r="T254" s="186"/>
    </row>
    <row r="255" spans="1:20" ht="45">
      <c r="A255" s="158" t="s">
        <v>650</v>
      </c>
      <c r="B255" s="263" t="s">
        <v>651</v>
      </c>
      <c r="C255" s="50">
        <v>24375</v>
      </c>
      <c r="D255" s="19"/>
      <c r="E255" s="50"/>
      <c r="F255" s="50"/>
      <c r="G255" s="19"/>
      <c r="H255" s="19"/>
      <c r="I255" s="19"/>
      <c r="J255" s="19"/>
      <c r="K255" s="19"/>
      <c r="L255" s="19"/>
      <c r="M255" s="19"/>
      <c r="N255" s="50"/>
      <c r="O255" s="50"/>
      <c r="P255" s="120">
        <f t="shared" si="41"/>
        <v>24375</v>
      </c>
      <c r="Q255" s="170"/>
      <c r="R255" s="170"/>
      <c r="S255" s="180"/>
      <c r="T255" s="186"/>
    </row>
    <row r="256" spans="1:20" ht="45">
      <c r="A256" s="158" t="s">
        <v>652</v>
      </c>
      <c r="B256" s="263" t="s">
        <v>653</v>
      </c>
      <c r="C256" s="50">
        <v>11578</v>
      </c>
      <c r="D256" s="19"/>
      <c r="E256" s="50"/>
      <c r="F256" s="50"/>
      <c r="G256" s="19"/>
      <c r="H256" s="19"/>
      <c r="I256" s="19"/>
      <c r="J256" s="19"/>
      <c r="K256" s="19"/>
      <c r="L256" s="19"/>
      <c r="M256" s="19"/>
      <c r="N256" s="50"/>
      <c r="O256" s="50"/>
      <c r="P256" s="120">
        <f t="shared" si="41"/>
        <v>11578</v>
      </c>
      <c r="Q256" s="170"/>
      <c r="R256" s="170"/>
      <c r="S256" s="180"/>
      <c r="T256" s="186"/>
    </row>
    <row r="257" spans="1:20" ht="45">
      <c r="A257" s="158" t="s">
        <v>654</v>
      </c>
      <c r="B257" s="263" t="s">
        <v>655</v>
      </c>
      <c r="C257" s="50">
        <v>14292</v>
      </c>
      <c r="D257" s="19"/>
      <c r="E257" s="50"/>
      <c r="F257" s="50"/>
      <c r="G257" s="19"/>
      <c r="H257" s="19"/>
      <c r="I257" s="19"/>
      <c r="J257" s="19"/>
      <c r="K257" s="19"/>
      <c r="L257" s="19"/>
      <c r="M257" s="19"/>
      <c r="N257" s="50"/>
      <c r="O257" s="50"/>
      <c r="P257" s="120">
        <f t="shared" si="41"/>
        <v>14292</v>
      </c>
      <c r="Q257" s="170"/>
      <c r="R257" s="170"/>
      <c r="S257" s="180"/>
      <c r="T257" s="186"/>
    </row>
    <row r="258" spans="1:20" ht="45">
      <c r="A258" s="158" t="s">
        <v>656</v>
      </c>
      <c r="B258" s="263" t="s">
        <v>657</v>
      </c>
      <c r="C258" s="50">
        <v>81548</v>
      </c>
      <c r="D258" s="19"/>
      <c r="E258" s="50"/>
      <c r="F258" s="50"/>
      <c r="G258" s="19"/>
      <c r="H258" s="19"/>
      <c r="I258" s="19"/>
      <c r="J258" s="19"/>
      <c r="K258" s="19"/>
      <c r="L258" s="19"/>
      <c r="M258" s="19"/>
      <c r="N258" s="50"/>
      <c r="O258" s="50"/>
      <c r="P258" s="120">
        <f t="shared" si="41"/>
        <v>81548</v>
      </c>
      <c r="Q258" s="170"/>
      <c r="R258" s="170"/>
      <c r="S258" s="180"/>
      <c r="T258" s="186"/>
    </row>
    <row r="259" spans="1:20" ht="30">
      <c r="A259" s="158" t="s">
        <v>658</v>
      </c>
      <c r="B259" s="263" t="s">
        <v>659</v>
      </c>
      <c r="C259" s="50">
        <f>61416+594000</f>
        <v>655416</v>
      </c>
      <c r="D259" s="19"/>
      <c r="E259" s="50"/>
      <c r="F259" s="50"/>
      <c r="G259" s="19"/>
      <c r="H259" s="19"/>
      <c r="I259" s="19"/>
      <c r="J259" s="19"/>
      <c r="K259" s="19"/>
      <c r="L259" s="19"/>
      <c r="M259" s="19"/>
      <c r="N259" s="50"/>
      <c r="O259" s="50"/>
      <c r="P259" s="120">
        <f t="shared" si="41"/>
        <v>655416</v>
      </c>
      <c r="Q259" s="170"/>
      <c r="R259" s="170"/>
      <c r="S259" s="180"/>
      <c r="T259" s="186"/>
    </row>
    <row r="260" spans="1:20" ht="30">
      <c r="A260" s="13" t="s">
        <v>660</v>
      </c>
      <c r="B260" s="263" t="s">
        <v>661</v>
      </c>
      <c r="C260" s="50">
        <v>5000</v>
      </c>
      <c r="D260" s="19"/>
      <c r="E260" s="50"/>
      <c r="F260" s="50"/>
      <c r="G260" s="19"/>
      <c r="H260" s="19"/>
      <c r="I260" s="19"/>
      <c r="J260" s="19"/>
      <c r="K260" s="19"/>
      <c r="L260" s="19"/>
      <c r="M260" s="19"/>
      <c r="N260" s="50"/>
      <c r="O260" s="50"/>
      <c r="P260" s="120">
        <f t="shared" si="41"/>
        <v>5000</v>
      </c>
      <c r="Q260" s="170"/>
      <c r="R260" s="170"/>
      <c r="S260" s="180"/>
      <c r="T260" s="186"/>
    </row>
    <row r="261" spans="1:20" ht="30">
      <c r="A261" s="49" t="s">
        <v>253</v>
      </c>
      <c r="B261" s="138" t="s">
        <v>662</v>
      </c>
      <c r="C261" s="50">
        <f>21898990+4342489</f>
        <v>26241479</v>
      </c>
      <c r="D261" s="19"/>
      <c r="E261" s="50"/>
      <c r="F261" s="50"/>
      <c r="G261" s="19"/>
      <c r="H261" s="19"/>
      <c r="I261" s="19"/>
      <c r="J261" s="19"/>
      <c r="K261" s="19"/>
      <c r="L261" s="19"/>
      <c r="M261" s="19"/>
      <c r="N261" s="50"/>
      <c r="O261" s="50"/>
      <c r="P261" s="120">
        <f t="shared" si="41"/>
        <v>26241479</v>
      </c>
      <c r="Q261" s="170"/>
      <c r="R261" s="170"/>
      <c r="S261" s="180"/>
      <c r="T261" s="186"/>
    </row>
    <row r="262" spans="1:20" ht="45">
      <c r="A262" s="136" t="s">
        <v>258</v>
      </c>
      <c r="B262" s="163" t="s">
        <v>322</v>
      </c>
      <c r="C262" s="50">
        <v>4275</v>
      </c>
      <c r="D262" s="19"/>
      <c r="E262" s="50"/>
      <c r="F262" s="50"/>
      <c r="G262" s="19"/>
      <c r="H262" s="19"/>
      <c r="I262" s="19"/>
      <c r="J262" s="19"/>
      <c r="K262" s="19"/>
      <c r="L262" s="19"/>
      <c r="M262" s="19"/>
      <c r="N262" s="50"/>
      <c r="O262" s="50"/>
      <c r="P262" s="120">
        <f t="shared" si="41"/>
        <v>4275</v>
      </c>
      <c r="Q262" s="170"/>
      <c r="R262" s="170"/>
      <c r="S262" s="180"/>
      <c r="T262" s="186"/>
    </row>
    <row r="263" spans="1:20" ht="30">
      <c r="A263" s="49" t="s">
        <v>286</v>
      </c>
      <c r="B263" s="164" t="s">
        <v>285</v>
      </c>
      <c r="C263" s="50">
        <f>152218+14182</f>
        <v>166400</v>
      </c>
      <c r="D263" s="50"/>
      <c r="E263" s="50"/>
      <c r="F263" s="50"/>
      <c r="G263" s="19"/>
      <c r="H263" s="63"/>
      <c r="I263" s="63">
        <f>2090+4180</f>
        <v>6270</v>
      </c>
      <c r="J263" s="63">
        <v>520</v>
      </c>
      <c r="K263" s="63"/>
      <c r="L263" s="63"/>
      <c r="M263" s="63"/>
      <c r="N263" s="67">
        <v>1200</v>
      </c>
      <c r="O263" s="50"/>
      <c r="P263" s="120">
        <f t="shared" si="41"/>
        <v>174390</v>
      </c>
      <c r="Q263" s="170"/>
      <c r="R263" s="170"/>
      <c r="S263" s="180"/>
      <c r="T263" s="186"/>
    </row>
    <row r="264" spans="1:20" ht="45">
      <c r="A264" s="264" t="s">
        <v>344</v>
      </c>
      <c r="B264" s="205" t="s">
        <v>343</v>
      </c>
      <c r="C264" s="19">
        <v>11155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50"/>
      <c r="O264" s="50"/>
      <c r="P264" s="120">
        <f t="shared" si="41"/>
        <v>11155</v>
      </c>
      <c r="Q264" s="170"/>
      <c r="R264" s="170"/>
      <c r="S264" s="180"/>
      <c r="T264" s="186"/>
    </row>
    <row r="265" spans="1:20" ht="45">
      <c r="A265" s="264" t="s">
        <v>346</v>
      </c>
      <c r="B265" s="205" t="s">
        <v>345</v>
      </c>
      <c r="C265" s="19">
        <v>24870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50"/>
      <c r="O265" s="50"/>
      <c r="P265" s="120">
        <f t="shared" si="41"/>
        <v>24870</v>
      </c>
      <c r="Q265" s="170"/>
      <c r="R265" s="170"/>
      <c r="S265" s="180"/>
      <c r="T265" s="186"/>
    </row>
    <row r="266" spans="1:20" ht="45">
      <c r="A266" s="264" t="s">
        <v>350</v>
      </c>
      <c r="B266" s="205" t="s">
        <v>349</v>
      </c>
      <c r="C266" s="19">
        <v>21071</v>
      </c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73"/>
      <c r="O266" s="50"/>
      <c r="P266" s="120">
        <f t="shared" si="41"/>
        <v>21071</v>
      </c>
      <c r="Q266" s="170"/>
      <c r="R266" s="170"/>
      <c r="S266" s="180"/>
      <c r="T266" s="186"/>
    </row>
    <row r="267" spans="1:20" ht="45">
      <c r="A267" s="264" t="s">
        <v>348</v>
      </c>
      <c r="B267" s="205" t="s">
        <v>347</v>
      </c>
      <c r="C267" s="19">
        <v>26560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50"/>
      <c r="O267" s="50"/>
      <c r="P267" s="120">
        <f t="shared" si="41"/>
        <v>26560</v>
      </c>
      <c r="Q267" s="170"/>
      <c r="R267" s="170"/>
      <c r="S267" s="180"/>
      <c r="T267" s="186"/>
    </row>
    <row r="268" spans="1:20" ht="30">
      <c r="A268" s="264" t="s">
        <v>352</v>
      </c>
      <c r="B268" s="205" t="s">
        <v>351</v>
      </c>
      <c r="C268" s="19">
        <v>20173</v>
      </c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73"/>
      <c r="O268" s="50"/>
      <c r="P268" s="120">
        <f t="shared" si="41"/>
        <v>20173</v>
      </c>
      <c r="Q268" s="170"/>
      <c r="R268" s="170"/>
      <c r="S268" s="180"/>
      <c r="T268" s="186"/>
    </row>
    <row r="269" spans="1:20" ht="47.25">
      <c r="A269" s="12" t="s">
        <v>354</v>
      </c>
      <c r="B269" s="160" t="s">
        <v>353</v>
      </c>
      <c r="C269" s="19"/>
      <c r="D269" s="19"/>
      <c r="E269" s="19"/>
      <c r="F269" s="19"/>
      <c r="G269" s="19"/>
      <c r="H269" s="19"/>
      <c r="I269" s="19"/>
      <c r="J269" s="19">
        <v>49406</v>
      </c>
      <c r="K269" s="19"/>
      <c r="L269" s="19"/>
      <c r="M269" s="19"/>
      <c r="N269" s="50"/>
      <c r="O269" s="50"/>
      <c r="P269" s="120">
        <f t="shared" si="41"/>
        <v>49406</v>
      </c>
      <c r="Q269" s="170"/>
      <c r="R269" s="170"/>
      <c r="S269" s="180"/>
      <c r="T269" s="186"/>
    </row>
    <row r="270" spans="1:20" ht="30">
      <c r="A270" s="12" t="s">
        <v>362</v>
      </c>
      <c r="B270" s="27" t="s">
        <v>663</v>
      </c>
      <c r="C270" s="50">
        <v>190080</v>
      </c>
      <c r="D270" s="50"/>
      <c r="E270" s="50"/>
      <c r="F270" s="50"/>
      <c r="G270" s="19"/>
      <c r="H270" s="50"/>
      <c r="I270" s="50"/>
      <c r="J270" s="50"/>
      <c r="K270" s="50"/>
      <c r="L270" s="50"/>
      <c r="M270" s="50"/>
      <c r="N270" s="50"/>
      <c r="O270" s="50"/>
      <c r="P270" s="120">
        <f t="shared" si="41"/>
        <v>190080</v>
      </c>
      <c r="Q270" s="170"/>
      <c r="R270" s="170"/>
      <c r="S270" s="180"/>
      <c r="T270" s="186"/>
    </row>
    <row r="271" spans="1:20" ht="15" customHeight="1">
      <c r="A271" s="12" t="s">
        <v>371</v>
      </c>
      <c r="B271" s="27" t="s">
        <v>664</v>
      </c>
      <c r="C271" s="50">
        <v>17883</v>
      </c>
      <c r="D271" s="50"/>
      <c r="E271" s="50"/>
      <c r="F271" s="50"/>
      <c r="G271" s="19"/>
      <c r="H271" s="50"/>
      <c r="I271" s="50"/>
      <c r="J271" s="50"/>
      <c r="K271" s="50"/>
      <c r="L271" s="50"/>
      <c r="M271" s="50"/>
      <c r="N271" s="50"/>
      <c r="O271" s="50"/>
      <c r="P271" s="120">
        <f t="shared" si="41"/>
        <v>17883</v>
      </c>
      <c r="Q271" s="170"/>
      <c r="R271" s="170"/>
      <c r="S271" s="180"/>
      <c r="T271" s="186"/>
    </row>
    <row r="272" spans="1:20" ht="45">
      <c r="A272" s="12" t="s">
        <v>372</v>
      </c>
      <c r="B272" s="27" t="s">
        <v>373</v>
      </c>
      <c r="C272" s="50">
        <v>25815</v>
      </c>
      <c r="D272" s="50"/>
      <c r="E272" s="50"/>
      <c r="F272" s="50"/>
      <c r="G272" s="19"/>
      <c r="H272" s="50"/>
      <c r="I272" s="50"/>
      <c r="J272" s="50"/>
      <c r="K272" s="50"/>
      <c r="L272" s="50"/>
      <c r="M272" s="50"/>
      <c r="N272" s="50"/>
      <c r="O272" s="50"/>
      <c r="P272" s="120">
        <f t="shared" si="41"/>
        <v>25815</v>
      </c>
      <c r="Q272" s="170"/>
      <c r="R272" s="170"/>
      <c r="S272" s="180"/>
      <c r="T272" s="186"/>
    </row>
    <row r="273" spans="1:20" ht="45">
      <c r="A273" s="227" t="s">
        <v>408</v>
      </c>
      <c r="B273" s="205" t="s">
        <v>409</v>
      </c>
      <c r="C273" s="50">
        <v>14643</v>
      </c>
      <c r="D273" s="50"/>
      <c r="E273" s="50"/>
      <c r="F273" s="50"/>
      <c r="G273" s="19"/>
      <c r="H273" s="50"/>
      <c r="I273" s="50"/>
      <c r="J273" s="50"/>
      <c r="K273" s="50"/>
      <c r="L273" s="50"/>
      <c r="M273" s="50"/>
      <c r="N273" s="50"/>
      <c r="O273" s="50"/>
      <c r="P273" s="120">
        <f t="shared" si="41"/>
        <v>14643</v>
      </c>
      <c r="Q273" s="170"/>
      <c r="R273" s="170"/>
      <c r="S273" s="180"/>
      <c r="T273" s="186"/>
    </row>
    <row r="274" spans="1:20" ht="30">
      <c r="A274" s="227" t="s">
        <v>417</v>
      </c>
      <c r="B274" s="205" t="s">
        <v>665</v>
      </c>
      <c r="C274" s="19">
        <v>18597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50"/>
      <c r="P274" s="120">
        <f t="shared" si="41"/>
        <v>18597</v>
      </c>
      <c r="Q274" s="170"/>
      <c r="R274" s="170"/>
      <c r="S274" s="180"/>
      <c r="T274" s="186"/>
    </row>
    <row r="275" spans="1:20" ht="30">
      <c r="A275" s="227" t="s">
        <v>420</v>
      </c>
      <c r="B275" s="205" t="s">
        <v>421</v>
      </c>
      <c r="C275" s="19">
        <v>523</v>
      </c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50"/>
      <c r="P275" s="120">
        <f t="shared" si="41"/>
        <v>523</v>
      </c>
      <c r="Q275" s="170"/>
      <c r="R275" s="170"/>
      <c r="S275" s="180"/>
      <c r="T275" s="186"/>
    </row>
    <row r="276" spans="1:20" ht="30">
      <c r="A276" s="227" t="s">
        <v>424</v>
      </c>
      <c r="B276" s="205" t="s">
        <v>300</v>
      </c>
      <c r="C276" s="19"/>
      <c r="D276" s="19"/>
      <c r="E276" s="19"/>
      <c r="F276" s="19"/>
      <c r="G276" s="19"/>
      <c r="H276" s="19"/>
      <c r="I276" s="19">
        <v>103</v>
      </c>
      <c r="J276" s="19"/>
      <c r="K276" s="19"/>
      <c r="L276" s="19"/>
      <c r="M276" s="19"/>
      <c r="N276" s="19"/>
      <c r="O276" s="50"/>
      <c r="P276" s="120">
        <f t="shared" si="41"/>
        <v>103</v>
      </c>
      <c r="Q276" s="170"/>
      <c r="R276" s="170"/>
      <c r="S276" s="180"/>
      <c r="T276" s="186"/>
    </row>
    <row r="277" spans="1:20" ht="30">
      <c r="A277" s="227" t="s">
        <v>666</v>
      </c>
      <c r="B277" s="164" t="s">
        <v>667</v>
      </c>
      <c r="C277" s="19">
        <v>6930</v>
      </c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50"/>
      <c r="P277" s="120">
        <f t="shared" si="41"/>
        <v>6930</v>
      </c>
      <c r="Q277" s="170"/>
      <c r="R277" s="170"/>
      <c r="S277" s="180"/>
      <c r="T277" s="186"/>
    </row>
    <row r="278" spans="1:20" ht="30">
      <c r="A278" s="227" t="s">
        <v>668</v>
      </c>
      <c r="B278" s="265" t="s">
        <v>669</v>
      </c>
      <c r="C278" s="73">
        <v>455470</v>
      </c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120">
        <f t="shared" si="41"/>
        <v>455470</v>
      </c>
      <c r="Q278" s="170"/>
      <c r="R278" s="170"/>
      <c r="S278" s="180"/>
      <c r="T278" s="186"/>
    </row>
    <row r="279" spans="1:20" ht="30">
      <c r="A279" s="227" t="s">
        <v>683</v>
      </c>
      <c r="B279" s="27" t="s">
        <v>682</v>
      </c>
      <c r="C279" s="50">
        <f>165647+50000</f>
        <v>215647</v>
      </c>
      <c r="D279" s="50"/>
      <c r="E279" s="50"/>
      <c r="F279" s="50"/>
      <c r="G279" s="19"/>
      <c r="H279" s="50"/>
      <c r="I279" s="50"/>
      <c r="J279" s="50"/>
      <c r="K279" s="50"/>
      <c r="L279" s="50"/>
      <c r="M279" s="50"/>
      <c r="N279" s="50"/>
      <c r="O279" s="50"/>
      <c r="P279" s="48">
        <f>SUM(C279:O279)</f>
        <v>215647</v>
      </c>
      <c r="Q279" s="170"/>
      <c r="R279" s="170"/>
      <c r="S279" s="180"/>
      <c r="T279" s="186"/>
    </row>
    <row r="280" spans="1:20" ht="30">
      <c r="A280" s="227" t="s">
        <v>704</v>
      </c>
      <c r="B280" s="27" t="s">
        <v>705</v>
      </c>
      <c r="C280" s="50"/>
      <c r="D280" s="50"/>
      <c r="E280" s="50"/>
      <c r="F280" s="50"/>
      <c r="G280" s="50"/>
      <c r="H280" s="50"/>
      <c r="I280" s="50"/>
      <c r="J280" s="50">
        <v>68896</v>
      </c>
      <c r="K280" s="50"/>
      <c r="L280" s="50"/>
      <c r="M280" s="50"/>
      <c r="N280" s="50"/>
      <c r="O280" s="50"/>
      <c r="P280" s="48">
        <f>SUM(C280:O280)</f>
        <v>68896</v>
      </c>
      <c r="Q280" s="170"/>
      <c r="R280" s="170"/>
      <c r="S280" s="180"/>
      <c r="T280" s="186"/>
    </row>
    <row r="281" spans="1:20" ht="30">
      <c r="A281" s="227" t="s">
        <v>689</v>
      </c>
      <c r="B281" s="27" t="s">
        <v>697</v>
      </c>
      <c r="C281" s="50">
        <v>4000</v>
      </c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48">
        <f>SUM(C281:O281)</f>
        <v>4000</v>
      </c>
      <c r="Q281" s="170"/>
      <c r="R281" s="170"/>
      <c r="S281" s="180"/>
      <c r="T281" s="186"/>
    </row>
    <row r="282" spans="1:20" ht="30">
      <c r="A282" s="227" t="s">
        <v>690</v>
      </c>
      <c r="B282" s="27" t="s">
        <v>698</v>
      </c>
      <c r="C282" s="50">
        <v>4000</v>
      </c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86"/>
      <c r="P282" s="48">
        <f>SUM(C282:O282)</f>
        <v>4000</v>
      </c>
      <c r="Q282" s="170"/>
      <c r="R282" s="170"/>
      <c r="S282" s="180"/>
      <c r="T282" s="186"/>
    </row>
    <row r="283" spans="1:20" ht="45.75" thickBot="1">
      <c r="A283" s="227" t="s">
        <v>699</v>
      </c>
      <c r="B283" s="28" t="s">
        <v>700</v>
      </c>
      <c r="C283" s="73">
        <v>70800</v>
      </c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48">
        <f>SUM(C283:O283)</f>
        <v>70800</v>
      </c>
      <c r="Q283" s="170"/>
      <c r="R283" s="170"/>
      <c r="S283" s="180"/>
      <c r="T283" s="186"/>
    </row>
    <row r="284" spans="1:20" ht="15.75" thickBot="1">
      <c r="A284" s="74" t="s">
        <v>7</v>
      </c>
      <c r="B284" s="41" t="s">
        <v>104</v>
      </c>
      <c r="C284" s="43">
        <f>SUM(C285+C286+C287+C288+C300)</f>
        <v>13065979</v>
      </c>
      <c r="D284" s="43">
        <f aca="true" t="shared" si="42" ref="D284:O284">SUM(D285+D286+D287+D288+D300)</f>
        <v>54384.5</v>
      </c>
      <c r="E284" s="43">
        <f t="shared" si="42"/>
        <v>0</v>
      </c>
      <c r="F284" s="43">
        <f t="shared" si="42"/>
        <v>0</v>
      </c>
      <c r="G284" s="43">
        <f t="shared" si="42"/>
        <v>55031</v>
      </c>
      <c r="H284" s="43">
        <f t="shared" si="42"/>
        <v>12251</v>
      </c>
      <c r="I284" s="43">
        <f t="shared" si="42"/>
        <v>1527</v>
      </c>
      <c r="J284" s="43">
        <f t="shared" si="42"/>
        <v>738648</v>
      </c>
      <c r="K284" s="43">
        <f t="shared" si="42"/>
        <v>1536</v>
      </c>
      <c r="L284" s="43">
        <f t="shared" si="42"/>
        <v>3000</v>
      </c>
      <c r="M284" s="43">
        <f t="shared" si="42"/>
        <v>6050</v>
      </c>
      <c r="N284" s="43">
        <f t="shared" si="42"/>
        <v>50</v>
      </c>
      <c r="O284" s="43">
        <f t="shared" si="42"/>
        <v>0</v>
      </c>
      <c r="P284" s="44">
        <f t="shared" si="41"/>
        <v>13938456.5</v>
      </c>
      <c r="Q284" s="170"/>
      <c r="R284" s="170"/>
      <c r="S284" s="180"/>
      <c r="T284" s="186"/>
    </row>
    <row r="285" spans="1:20" ht="29.25">
      <c r="A285" s="112" t="s">
        <v>339</v>
      </c>
      <c r="B285" s="113" t="s">
        <v>155</v>
      </c>
      <c r="C285" s="114">
        <f>401193+364-342+247</f>
        <v>401462</v>
      </c>
      <c r="D285" s="80"/>
      <c r="E285" s="114"/>
      <c r="F285" s="114"/>
      <c r="G285" s="80">
        <v>400</v>
      </c>
      <c r="H285" s="80"/>
      <c r="I285" s="80"/>
      <c r="J285" s="80">
        <v>666</v>
      </c>
      <c r="K285" s="80"/>
      <c r="L285" s="80"/>
      <c r="M285" s="80"/>
      <c r="N285" s="114"/>
      <c r="O285" s="85"/>
      <c r="P285" s="120">
        <f t="shared" si="41"/>
        <v>402528</v>
      </c>
      <c r="Q285" s="170"/>
      <c r="R285" s="170"/>
      <c r="S285" s="180"/>
      <c r="T285" s="186"/>
    </row>
    <row r="286" spans="1:20" ht="15">
      <c r="A286" s="112" t="s">
        <v>340</v>
      </c>
      <c r="B286" s="113" t="s">
        <v>137</v>
      </c>
      <c r="C286" s="114">
        <v>38225</v>
      </c>
      <c r="D286" s="114"/>
      <c r="E286" s="114"/>
      <c r="F286" s="114"/>
      <c r="G286" s="80">
        <v>3000</v>
      </c>
      <c r="H286" s="80">
        <v>3000</v>
      </c>
      <c r="I286" s="80">
        <v>977</v>
      </c>
      <c r="J286" s="80"/>
      <c r="K286" s="166"/>
      <c r="L286" s="166">
        <v>3000</v>
      </c>
      <c r="M286" s="114">
        <v>3000</v>
      </c>
      <c r="N286" s="114"/>
      <c r="O286" s="85"/>
      <c r="P286" s="120">
        <f t="shared" si="41"/>
        <v>51202</v>
      </c>
      <c r="Q286" s="170"/>
      <c r="R286" s="170"/>
      <c r="S286" s="180"/>
      <c r="T286" s="186"/>
    </row>
    <row r="287" spans="1:20" ht="15">
      <c r="A287" s="112" t="s">
        <v>105</v>
      </c>
      <c r="B287" s="113" t="s">
        <v>106</v>
      </c>
      <c r="C287" s="114"/>
      <c r="D287" s="47"/>
      <c r="E287" s="25"/>
      <c r="F287" s="25"/>
      <c r="G287" s="47"/>
      <c r="H287" s="47"/>
      <c r="I287" s="47"/>
      <c r="J287" s="47"/>
      <c r="K287" s="47"/>
      <c r="L287" s="47"/>
      <c r="M287" s="47"/>
      <c r="N287" s="25"/>
      <c r="O287" s="50"/>
      <c r="P287" s="120">
        <f t="shared" si="41"/>
        <v>0</v>
      </c>
      <c r="Q287" s="170"/>
      <c r="R287" s="170"/>
      <c r="S287" s="180"/>
      <c r="T287" s="186"/>
    </row>
    <row r="288" spans="1:20" ht="29.25">
      <c r="A288" s="119" t="s">
        <v>107</v>
      </c>
      <c r="B288" s="82" t="s">
        <v>108</v>
      </c>
      <c r="C288" s="31">
        <f aca="true" t="shared" si="43" ref="C288:O288">SUM(C289:C299)</f>
        <v>11206934</v>
      </c>
      <c r="D288" s="31">
        <f t="shared" si="43"/>
        <v>54384.5</v>
      </c>
      <c r="E288" s="31">
        <f t="shared" si="43"/>
        <v>0</v>
      </c>
      <c r="F288" s="31">
        <f t="shared" si="43"/>
        <v>0</v>
      </c>
      <c r="G288" s="31">
        <f t="shared" si="43"/>
        <v>830</v>
      </c>
      <c r="H288" s="31">
        <f t="shared" si="43"/>
        <v>0</v>
      </c>
      <c r="I288" s="31">
        <f t="shared" si="43"/>
        <v>550</v>
      </c>
      <c r="J288" s="31">
        <f t="shared" si="43"/>
        <v>701385</v>
      </c>
      <c r="K288" s="31">
        <f t="shared" si="43"/>
        <v>1536</v>
      </c>
      <c r="L288" s="31">
        <f t="shared" si="43"/>
        <v>0</v>
      </c>
      <c r="M288" s="31">
        <f t="shared" si="43"/>
        <v>3050</v>
      </c>
      <c r="N288" s="31">
        <f t="shared" si="43"/>
        <v>50</v>
      </c>
      <c r="O288" s="31">
        <f t="shared" si="43"/>
        <v>0</v>
      </c>
      <c r="P288" s="120">
        <f t="shared" si="41"/>
        <v>11968719.5</v>
      </c>
      <c r="Q288" s="170"/>
      <c r="R288" s="170"/>
      <c r="S288" s="180"/>
      <c r="T288" s="186"/>
    </row>
    <row r="289" spans="1:20" ht="30.75" customHeight="1">
      <c r="A289" s="49" t="s">
        <v>223</v>
      </c>
      <c r="B289" s="24" t="s">
        <v>109</v>
      </c>
      <c r="C289" s="50">
        <f>1947793+364+16265+500</f>
        <v>1964922</v>
      </c>
      <c r="D289" s="19">
        <v>54384.5</v>
      </c>
      <c r="E289" s="50"/>
      <c r="F289" s="50"/>
      <c r="G289" s="201">
        <v>830</v>
      </c>
      <c r="H289" s="19"/>
      <c r="I289" s="19"/>
      <c r="J289" s="19">
        <v>1783</v>
      </c>
      <c r="K289" s="19">
        <v>1536</v>
      </c>
      <c r="L289" s="19"/>
      <c r="M289" s="201">
        <v>3050</v>
      </c>
      <c r="N289" s="54">
        <v>50</v>
      </c>
      <c r="O289" s="50"/>
      <c r="P289" s="120">
        <f t="shared" si="41"/>
        <v>2026555.5</v>
      </c>
      <c r="Q289" s="170"/>
      <c r="R289" s="170"/>
      <c r="S289" s="180"/>
      <c r="T289" s="186"/>
    </row>
    <row r="290" spans="1:20" ht="30.75" customHeight="1">
      <c r="A290" s="49" t="s">
        <v>224</v>
      </c>
      <c r="B290" s="24" t="s">
        <v>17</v>
      </c>
      <c r="C290" s="50">
        <f>2956435+3000+3500</f>
        <v>2962935</v>
      </c>
      <c r="D290" s="19"/>
      <c r="E290" s="50"/>
      <c r="F290" s="50"/>
      <c r="G290" s="201"/>
      <c r="H290" s="19"/>
      <c r="I290" s="19"/>
      <c r="J290" s="19"/>
      <c r="K290" s="209"/>
      <c r="L290" s="19"/>
      <c r="M290" s="201"/>
      <c r="N290" s="54"/>
      <c r="O290" s="50"/>
      <c r="P290" s="120">
        <f t="shared" si="41"/>
        <v>2962935</v>
      </c>
      <c r="Q290" s="170"/>
      <c r="R290" s="170"/>
      <c r="S290" s="180"/>
      <c r="T290" s="186"/>
    </row>
    <row r="291" spans="1:20" ht="15">
      <c r="A291" s="49" t="s">
        <v>263</v>
      </c>
      <c r="B291" s="24" t="s">
        <v>264</v>
      </c>
      <c r="C291" s="50">
        <f>780000+15000+107579</f>
        <v>902579</v>
      </c>
      <c r="D291" s="19"/>
      <c r="E291" s="50"/>
      <c r="F291" s="50"/>
      <c r="G291" s="19"/>
      <c r="H291" s="19"/>
      <c r="I291" s="19"/>
      <c r="J291" s="19"/>
      <c r="K291" s="19"/>
      <c r="L291" s="19"/>
      <c r="M291" s="19"/>
      <c r="N291" s="50"/>
      <c r="O291" s="50"/>
      <c r="P291" s="120">
        <f t="shared" si="41"/>
        <v>902579</v>
      </c>
      <c r="Q291" s="170"/>
      <c r="R291" s="170"/>
      <c r="S291" s="180"/>
      <c r="T291" s="186"/>
    </row>
    <row r="292" spans="1:20" ht="30.75" customHeight="1">
      <c r="A292" s="49" t="s">
        <v>225</v>
      </c>
      <c r="B292" s="24" t="s">
        <v>139</v>
      </c>
      <c r="C292" s="50"/>
      <c r="D292" s="19"/>
      <c r="E292" s="50"/>
      <c r="F292" s="50"/>
      <c r="G292" s="19"/>
      <c r="H292" s="19"/>
      <c r="I292" s="19"/>
      <c r="J292" s="19">
        <v>697052</v>
      </c>
      <c r="K292" s="19"/>
      <c r="L292" s="19"/>
      <c r="M292" s="19"/>
      <c r="N292" s="50"/>
      <c r="O292" s="50"/>
      <c r="P292" s="120">
        <f t="shared" si="41"/>
        <v>697052</v>
      </c>
      <c r="Q292" s="170"/>
      <c r="R292" s="170"/>
      <c r="S292" s="180"/>
      <c r="T292" s="186"/>
    </row>
    <row r="293" spans="1:20" ht="15">
      <c r="A293" s="139">
        <v>10.70013</v>
      </c>
      <c r="B293" s="24" t="s">
        <v>381</v>
      </c>
      <c r="C293" s="50">
        <f>419657-26700-35000</f>
        <v>357957</v>
      </c>
      <c r="D293" s="19"/>
      <c r="E293" s="50"/>
      <c r="F293" s="50"/>
      <c r="G293" s="19"/>
      <c r="H293" s="19"/>
      <c r="I293" s="19"/>
      <c r="J293" s="19"/>
      <c r="K293" s="19"/>
      <c r="L293" s="19"/>
      <c r="M293" s="19"/>
      <c r="N293" s="50"/>
      <c r="O293" s="50"/>
      <c r="P293" s="120">
        <f t="shared" si="41"/>
        <v>357957</v>
      </c>
      <c r="Q293" s="170"/>
      <c r="R293" s="170"/>
      <c r="S293" s="180"/>
      <c r="T293" s="186"/>
    </row>
    <row r="294" spans="1:20" ht="30">
      <c r="A294" s="49" t="s">
        <v>276</v>
      </c>
      <c r="B294" s="7" t="s">
        <v>277</v>
      </c>
      <c r="C294" s="19">
        <f>36800+36300</f>
        <v>73100</v>
      </c>
      <c r="D294" s="19"/>
      <c r="E294" s="50"/>
      <c r="F294" s="50"/>
      <c r="G294" s="19"/>
      <c r="H294" s="19"/>
      <c r="I294" s="19"/>
      <c r="J294" s="19"/>
      <c r="K294" s="19"/>
      <c r="L294" s="19"/>
      <c r="M294" s="19"/>
      <c r="N294" s="50"/>
      <c r="O294" s="50"/>
      <c r="P294" s="120">
        <f t="shared" si="41"/>
        <v>73100</v>
      </c>
      <c r="Q294" s="170"/>
      <c r="R294" s="170"/>
      <c r="S294" s="180"/>
      <c r="T294" s="186"/>
    </row>
    <row r="295" spans="1:20" ht="31.5">
      <c r="A295" s="12" t="s">
        <v>323</v>
      </c>
      <c r="B295" s="16" t="s">
        <v>324</v>
      </c>
      <c r="C295" s="50">
        <v>30000</v>
      </c>
      <c r="D295" s="19"/>
      <c r="E295" s="50"/>
      <c r="F295" s="50"/>
      <c r="G295" s="19"/>
      <c r="H295" s="19"/>
      <c r="I295" s="19"/>
      <c r="J295" s="50"/>
      <c r="K295" s="50"/>
      <c r="L295" s="50"/>
      <c r="M295" s="50"/>
      <c r="N295" s="50"/>
      <c r="O295" s="50"/>
      <c r="P295" s="120">
        <f t="shared" si="41"/>
        <v>30000</v>
      </c>
      <c r="Q295" s="170"/>
      <c r="R295" s="170"/>
      <c r="S295" s="180"/>
      <c r="T295" s="186"/>
    </row>
    <row r="296" spans="1:20" ht="15">
      <c r="A296" s="49" t="s">
        <v>226</v>
      </c>
      <c r="B296" s="24" t="s">
        <v>138</v>
      </c>
      <c r="C296" s="50">
        <f>76565</f>
        <v>76565</v>
      </c>
      <c r="D296" s="19"/>
      <c r="E296" s="50"/>
      <c r="F296" s="50"/>
      <c r="G296" s="19"/>
      <c r="H296" s="19"/>
      <c r="I296" s="19">
        <v>550</v>
      </c>
      <c r="J296" s="50">
        <v>2550</v>
      </c>
      <c r="K296" s="50"/>
      <c r="L296" s="50"/>
      <c r="M296" s="50"/>
      <c r="N296" s="50"/>
      <c r="O296" s="50"/>
      <c r="P296" s="120">
        <f t="shared" si="41"/>
        <v>79665</v>
      </c>
      <c r="Q296" s="170"/>
      <c r="R296" s="170"/>
      <c r="S296" s="180"/>
      <c r="T296" s="186"/>
    </row>
    <row r="297" spans="1:20" ht="45">
      <c r="A297" s="49" t="s">
        <v>256</v>
      </c>
      <c r="B297" s="138" t="s">
        <v>325</v>
      </c>
      <c r="C297" s="50">
        <f>269371+69000</f>
        <v>338371</v>
      </c>
      <c r="D297" s="19"/>
      <c r="E297" s="50"/>
      <c r="F297" s="50"/>
      <c r="G297" s="19"/>
      <c r="H297" s="19"/>
      <c r="I297" s="19"/>
      <c r="J297" s="50"/>
      <c r="K297" s="50"/>
      <c r="L297" s="50"/>
      <c r="M297" s="50"/>
      <c r="N297" s="50"/>
      <c r="O297" s="50"/>
      <c r="P297" s="120">
        <f t="shared" si="41"/>
        <v>338371</v>
      </c>
      <c r="Q297" s="170"/>
      <c r="R297" s="170"/>
      <c r="S297" s="180"/>
      <c r="T297" s="186"/>
    </row>
    <row r="298" spans="1:20" ht="30">
      <c r="A298" s="13" t="s">
        <v>296</v>
      </c>
      <c r="B298" s="200" t="s">
        <v>297</v>
      </c>
      <c r="C298" s="19">
        <f>4099080+381488</f>
        <v>4480568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50"/>
      <c r="O298" s="50"/>
      <c r="P298" s="120">
        <f t="shared" si="41"/>
        <v>4480568</v>
      </c>
      <c r="Q298" s="170"/>
      <c r="R298" s="170"/>
      <c r="S298" s="180"/>
      <c r="T298" s="186"/>
    </row>
    <row r="299" spans="1:20" ht="30">
      <c r="A299" s="13" t="s">
        <v>670</v>
      </c>
      <c r="B299" s="6" t="s">
        <v>671</v>
      </c>
      <c r="C299" s="50">
        <v>19937</v>
      </c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120">
        <f t="shared" si="41"/>
        <v>19937</v>
      </c>
      <c r="Q299" s="170"/>
      <c r="R299" s="170"/>
      <c r="S299" s="180"/>
      <c r="T299" s="186"/>
    </row>
    <row r="300" spans="1:20" ht="29.25">
      <c r="A300" s="229" t="s">
        <v>382</v>
      </c>
      <c r="B300" s="214" t="s">
        <v>383</v>
      </c>
      <c r="C300" s="50">
        <f>SUM(C301:C302)</f>
        <v>1419358</v>
      </c>
      <c r="D300" s="50">
        <f aca="true" t="shared" si="44" ref="D300:O300">SUM(D301:D302)</f>
        <v>0</v>
      </c>
      <c r="E300" s="50">
        <f t="shared" si="44"/>
        <v>0</v>
      </c>
      <c r="F300" s="50">
        <f t="shared" si="44"/>
        <v>0</v>
      </c>
      <c r="G300" s="50">
        <f t="shared" si="44"/>
        <v>50801</v>
      </c>
      <c r="H300" s="50">
        <f t="shared" si="44"/>
        <v>9251</v>
      </c>
      <c r="I300" s="50">
        <f t="shared" si="44"/>
        <v>0</v>
      </c>
      <c r="J300" s="50">
        <f t="shared" si="44"/>
        <v>36597</v>
      </c>
      <c r="K300" s="50">
        <f t="shared" si="44"/>
        <v>0</v>
      </c>
      <c r="L300" s="50">
        <f t="shared" si="44"/>
        <v>0</v>
      </c>
      <c r="M300" s="50">
        <f t="shared" si="44"/>
        <v>0</v>
      </c>
      <c r="N300" s="50">
        <f>SUM(N301:N302)</f>
        <v>0</v>
      </c>
      <c r="O300" s="50">
        <f t="shared" si="44"/>
        <v>0</v>
      </c>
      <c r="P300" s="120">
        <f t="shared" si="41"/>
        <v>1516007</v>
      </c>
      <c r="Q300" s="170"/>
      <c r="R300" s="170"/>
      <c r="S300" s="180"/>
      <c r="T300" s="186"/>
    </row>
    <row r="301" spans="1:20" ht="45">
      <c r="A301" s="227" t="s">
        <v>674</v>
      </c>
      <c r="B301" s="138" t="s">
        <v>676</v>
      </c>
      <c r="C301" s="50">
        <f>646378+348286</f>
        <v>994664</v>
      </c>
      <c r="D301" s="50"/>
      <c r="E301" s="50"/>
      <c r="F301" s="50"/>
      <c r="G301" s="50">
        <v>50801</v>
      </c>
      <c r="H301" s="50">
        <v>9251</v>
      </c>
      <c r="I301" s="50"/>
      <c r="J301" s="50">
        <v>36597</v>
      </c>
      <c r="K301" s="50"/>
      <c r="L301" s="50"/>
      <c r="M301" s="50"/>
      <c r="N301" s="50"/>
      <c r="O301" s="86"/>
      <c r="P301" s="120">
        <f t="shared" si="41"/>
        <v>1091313</v>
      </c>
      <c r="Q301" s="170"/>
      <c r="R301" s="170"/>
      <c r="S301" s="180"/>
      <c r="T301" s="186"/>
    </row>
    <row r="302" spans="1:20" ht="30.75" thickBot="1">
      <c r="A302" s="274" t="s">
        <v>701</v>
      </c>
      <c r="B302" s="270" t="s">
        <v>702</v>
      </c>
      <c r="C302" s="73">
        <v>424694</v>
      </c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120">
        <f t="shared" si="41"/>
        <v>424694</v>
      </c>
      <c r="Q302" s="170"/>
      <c r="R302" s="170"/>
      <c r="S302" s="180"/>
      <c r="T302" s="186"/>
    </row>
    <row r="303" spans="1:20" ht="15.75" thickBot="1">
      <c r="A303" s="167"/>
      <c r="B303" s="41" t="s">
        <v>19</v>
      </c>
      <c r="C303" s="43">
        <f aca="true" t="shared" si="45" ref="C303:O303">C7+C16+C22+C62+C79+C125+C132+C184+C284</f>
        <v>118899336</v>
      </c>
      <c r="D303" s="43">
        <f t="shared" si="45"/>
        <v>4047972.5</v>
      </c>
      <c r="E303" s="43">
        <f t="shared" si="45"/>
        <v>1688067</v>
      </c>
      <c r="F303" s="42">
        <f t="shared" si="45"/>
        <v>477145</v>
      </c>
      <c r="G303" s="42">
        <f t="shared" si="45"/>
        <v>2135370</v>
      </c>
      <c r="H303" s="42">
        <f t="shared" si="45"/>
        <v>567126</v>
      </c>
      <c r="I303" s="42">
        <f t="shared" si="45"/>
        <v>1154065</v>
      </c>
      <c r="J303" s="43">
        <f t="shared" si="45"/>
        <v>3548561</v>
      </c>
      <c r="K303" s="43">
        <f t="shared" si="45"/>
        <v>426318</v>
      </c>
      <c r="L303" s="43">
        <f t="shared" si="45"/>
        <v>328657</v>
      </c>
      <c r="M303" s="43">
        <f t="shared" si="45"/>
        <v>374665</v>
      </c>
      <c r="N303" s="43">
        <f t="shared" si="45"/>
        <v>1101632</v>
      </c>
      <c r="O303" s="42">
        <f t="shared" si="45"/>
        <v>361099</v>
      </c>
      <c r="P303" s="44">
        <f t="shared" si="41"/>
        <v>135110013.5</v>
      </c>
      <c r="Q303" s="170"/>
      <c r="R303" s="170"/>
      <c r="S303" s="180"/>
      <c r="T303" s="186"/>
    </row>
    <row r="304" spans="1:20" ht="15">
      <c r="A304" s="168" t="s">
        <v>405</v>
      </c>
      <c r="B304" s="71" t="s">
        <v>406</v>
      </c>
      <c r="C304" s="169">
        <f>5500446+337886</f>
        <v>5838332</v>
      </c>
      <c r="D304" s="169"/>
      <c r="E304" s="169"/>
      <c r="F304" s="170"/>
      <c r="G304" s="170"/>
      <c r="H304" s="169"/>
      <c r="I304" s="169"/>
      <c r="J304" s="169"/>
      <c r="K304" s="169"/>
      <c r="L304" s="169"/>
      <c r="M304" s="169"/>
      <c r="N304" s="169"/>
      <c r="O304" s="169"/>
      <c r="P304" s="170">
        <f>SUM(C304:O304)</f>
        <v>5838332</v>
      </c>
      <c r="Q304" s="170"/>
      <c r="R304" s="170"/>
      <c r="S304" s="180"/>
      <c r="T304" s="186"/>
    </row>
    <row r="305" spans="1:20" ht="29.25">
      <c r="A305" s="168" t="s">
        <v>388</v>
      </c>
      <c r="B305" s="171" t="s">
        <v>403</v>
      </c>
      <c r="C305" s="169">
        <v>1971150</v>
      </c>
      <c r="D305" s="169"/>
      <c r="E305" s="169"/>
      <c r="F305" s="170"/>
      <c r="G305" s="169"/>
      <c r="H305" s="169"/>
      <c r="I305" s="169"/>
      <c r="J305" s="169"/>
      <c r="K305" s="169"/>
      <c r="L305" s="169"/>
      <c r="M305" s="169"/>
      <c r="N305" s="169"/>
      <c r="O305" s="169"/>
      <c r="P305" s="170">
        <f>SUM(C305:O305)</f>
        <v>1971150</v>
      </c>
      <c r="Q305" s="170"/>
      <c r="R305" s="170"/>
      <c r="S305" s="180"/>
      <c r="T305" s="186"/>
    </row>
    <row r="306" spans="1:20" ht="29.25">
      <c r="A306" s="168" t="s">
        <v>388</v>
      </c>
      <c r="B306" s="171" t="s">
        <v>402</v>
      </c>
      <c r="C306" s="30">
        <v>13447</v>
      </c>
      <c r="D306" s="30"/>
      <c r="E306" s="30"/>
      <c r="F306" s="172"/>
      <c r="G306" s="30"/>
      <c r="H306" s="30"/>
      <c r="I306" s="30"/>
      <c r="J306" s="30"/>
      <c r="K306" s="30"/>
      <c r="L306" s="30"/>
      <c r="M306" s="30"/>
      <c r="N306" s="30"/>
      <c r="O306" s="30"/>
      <c r="P306" s="170">
        <f>SUM(C306:O306)</f>
        <v>13447</v>
      </c>
      <c r="Q306" s="170"/>
      <c r="R306" s="170"/>
      <c r="S306" s="180"/>
      <c r="T306" s="186"/>
    </row>
    <row r="307" spans="1:20" ht="29.25">
      <c r="A307" s="168"/>
      <c r="B307" s="171" t="s">
        <v>691</v>
      </c>
      <c r="C307" s="30">
        <v>2700</v>
      </c>
      <c r="D307" s="30"/>
      <c r="E307" s="30"/>
      <c r="F307" s="172"/>
      <c r="G307" s="30"/>
      <c r="H307" s="30"/>
      <c r="I307" s="30"/>
      <c r="J307" s="30"/>
      <c r="K307" s="30"/>
      <c r="L307" s="30"/>
      <c r="M307" s="30"/>
      <c r="N307" s="30"/>
      <c r="O307" s="30"/>
      <c r="P307" s="170">
        <f>SUM(C307:O307)</f>
        <v>2700</v>
      </c>
      <c r="Q307" s="170"/>
      <c r="R307" s="170"/>
      <c r="S307" s="180"/>
      <c r="T307" s="186"/>
    </row>
    <row r="308" spans="1:20" ht="30">
      <c r="A308" s="173" t="s">
        <v>247</v>
      </c>
      <c r="B308" s="174" t="s">
        <v>257</v>
      </c>
      <c r="C308" s="30">
        <v>900000</v>
      </c>
      <c r="D308" s="30">
        <f>1386722-397017</f>
        <v>989705</v>
      </c>
      <c r="E308" s="30"/>
      <c r="F308" s="172">
        <v>89474</v>
      </c>
      <c r="G308" s="30">
        <f>58275-3810-3555</f>
        <v>50910</v>
      </c>
      <c r="H308" s="30">
        <f>19203-69</f>
        <v>19134</v>
      </c>
      <c r="I308" s="30"/>
      <c r="J308" s="30"/>
      <c r="K308" s="30"/>
      <c r="L308" s="30">
        <f>16301-9</f>
        <v>16292</v>
      </c>
      <c r="M308" s="30">
        <f>8550-370</f>
        <v>8180</v>
      </c>
      <c r="N308" s="30">
        <f>40269-1700-6050</f>
        <v>32519</v>
      </c>
      <c r="O308" s="30"/>
      <c r="P308" s="170">
        <f>SUM(C308:O308)</f>
        <v>2106214</v>
      </c>
      <c r="Q308" s="170"/>
      <c r="R308" s="170"/>
      <c r="S308" s="180"/>
      <c r="T308" s="186"/>
    </row>
    <row r="309" spans="1:20" ht="28.5" customHeight="1">
      <c r="A309" s="29" t="s">
        <v>227</v>
      </c>
      <c r="B309" s="175" t="s">
        <v>228</v>
      </c>
      <c r="C309" s="170">
        <v>8900109</v>
      </c>
      <c r="D309" s="170">
        <v>-874719.5</v>
      </c>
      <c r="E309" s="170">
        <v>-1315653</v>
      </c>
      <c r="F309" s="170">
        <v>-90615</v>
      </c>
      <c r="G309" s="170">
        <v>-1681558</v>
      </c>
      <c r="H309" s="170">
        <v>-275490</v>
      </c>
      <c r="I309" s="170">
        <v>-745992</v>
      </c>
      <c r="J309" s="170">
        <v>-1952630</v>
      </c>
      <c r="K309" s="170">
        <v>-222120</v>
      </c>
      <c r="L309" s="170">
        <v>-227486</v>
      </c>
      <c r="M309" s="170">
        <v>-259511</v>
      </c>
      <c r="N309" s="170">
        <v>-924664</v>
      </c>
      <c r="O309" s="170">
        <v>-329670.3</v>
      </c>
      <c r="P309" s="170">
        <v>0.19999998807907104</v>
      </c>
      <c r="Q309" s="170"/>
      <c r="R309" s="170"/>
      <c r="S309" s="180"/>
      <c r="T309" s="186"/>
    </row>
    <row r="310" spans="1:20" ht="15">
      <c r="A310" s="30"/>
      <c r="B310" s="176"/>
      <c r="C310" s="170"/>
      <c r="D310" s="170"/>
      <c r="E310" s="170"/>
      <c r="F310" s="170"/>
      <c r="G310" s="170"/>
      <c r="H310" s="177"/>
      <c r="I310" s="170"/>
      <c r="J310" s="177"/>
      <c r="K310" s="170"/>
      <c r="L310" s="170"/>
      <c r="M310" s="170"/>
      <c r="N310" s="170"/>
      <c r="O310" s="170"/>
      <c r="P310" s="170"/>
      <c r="Q310" s="170"/>
      <c r="R310" s="170"/>
      <c r="S310" s="180"/>
      <c r="T310" s="186"/>
    </row>
    <row r="311" spans="1:20" ht="47.25" customHeight="1">
      <c r="A311" s="30"/>
      <c r="B311" s="178" t="s">
        <v>245</v>
      </c>
      <c r="C311" s="30"/>
      <c r="D311" s="30" t="s">
        <v>20</v>
      </c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179"/>
      <c r="Q311" s="170"/>
      <c r="R311" s="170"/>
      <c r="S311" s="180"/>
      <c r="T311" s="186"/>
    </row>
    <row r="312" spans="1:20" ht="47.25" customHeight="1">
      <c r="A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179"/>
      <c r="Q312" s="170"/>
      <c r="R312" s="170"/>
      <c r="S312" s="180"/>
      <c r="T312" s="186"/>
    </row>
    <row r="313" spans="1:20" ht="15">
      <c r="A313" s="30"/>
      <c r="B313" s="266"/>
      <c r="C313" s="30"/>
      <c r="D313" s="30"/>
      <c r="E313" s="30"/>
      <c r="F313" s="30"/>
      <c r="G313" s="30"/>
      <c r="H313" s="30"/>
      <c r="I313" s="30"/>
      <c r="J313" s="30"/>
      <c r="K313" s="267"/>
      <c r="L313" s="30"/>
      <c r="M313" s="30"/>
      <c r="N313" s="30"/>
      <c r="O313" s="30"/>
      <c r="P313" s="169"/>
      <c r="Q313" s="170"/>
      <c r="R313" s="170"/>
      <c r="S313" s="180"/>
      <c r="T313" s="186"/>
    </row>
    <row r="314" spans="1:20" ht="47.25" customHeight="1" thickBot="1">
      <c r="A314" s="280" t="s">
        <v>672</v>
      </c>
      <c r="B314" s="280"/>
      <c r="C314" s="28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169"/>
      <c r="Q314" s="170"/>
      <c r="R314" s="170"/>
      <c r="S314" s="180"/>
      <c r="T314" s="186"/>
    </row>
    <row r="315" spans="1:20" ht="135.75" thickBot="1">
      <c r="A315" s="105" t="s">
        <v>9</v>
      </c>
      <c r="B315" s="106" t="s">
        <v>115</v>
      </c>
      <c r="C315" s="38" t="s">
        <v>426</v>
      </c>
      <c r="D315" s="107" t="s">
        <v>427</v>
      </c>
      <c r="E315" s="37" t="s">
        <v>673</v>
      </c>
      <c r="F315" s="37" t="s">
        <v>429</v>
      </c>
      <c r="G315" s="23" t="s">
        <v>430</v>
      </c>
      <c r="H315" s="23" t="s">
        <v>431</v>
      </c>
      <c r="I315" s="23" t="s">
        <v>432</v>
      </c>
      <c r="J315" s="23" t="s">
        <v>433</v>
      </c>
      <c r="K315" s="23" t="s">
        <v>434</v>
      </c>
      <c r="L315" s="23" t="s">
        <v>435</v>
      </c>
      <c r="M315" s="23" t="s">
        <v>436</v>
      </c>
      <c r="N315" s="23" t="s">
        <v>437</v>
      </c>
      <c r="O315" s="268" t="s">
        <v>404</v>
      </c>
      <c r="P315" s="110" t="s">
        <v>438</v>
      </c>
      <c r="Q315" s="170"/>
      <c r="R315" s="170"/>
      <c r="S315" s="180"/>
      <c r="T315" s="186"/>
    </row>
    <row r="316" spans="1:20" ht="47.25" customHeight="1">
      <c r="A316" s="194">
        <v>1100</v>
      </c>
      <c r="B316" s="76" t="s">
        <v>154</v>
      </c>
      <c r="C316" s="26">
        <f>28318148+360990+4111431</f>
        <v>32790569</v>
      </c>
      <c r="D316" s="26">
        <v>994340</v>
      </c>
      <c r="E316" s="26">
        <v>733868</v>
      </c>
      <c r="F316" s="277">
        <f>71817+136</f>
        <v>71953</v>
      </c>
      <c r="G316" s="273">
        <f>1080999+17081</f>
        <v>1098080</v>
      </c>
      <c r="H316" s="26">
        <v>138712</v>
      </c>
      <c r="I316" s="26">
        <f>501388+3382+8221</f>
        <v>512991</v>
      </c>
      <c r="J316" s="26">
        <v>1688697</v>
      </c>
      <c r="K316" s="26">
        <v>117944</v>
      </c>
      <c r="L316" s="26">
        <v>139612</v>
      </c>
      <c r="M316" s="26">
        <v>133604</v>
      </c>
      <c r="N316" s="26">
        <f>659999-8221</f>
        <v>651778</v>
      </c>
      <c r="O316" s="219">
        <f>201729-13783-24840</f>
        <v>163106</v>
      </c>
      <c r="P316" s="143">
        <f aca="true" t="shared" si="46" ref="P316:P332">SUM(C316:O316)</f>
        <v>39235254</v>
      </c>
      <c r="Q316" s="170"/>
      <c r="R316" s="170"/>
      <c r="S316" s="180"/>
      <c r="T316" s="186"/>
    </row>
    <row r="317" spans="1:20" ht="45">
      <c r="A317" s="81">
        <v>1200</v>
      </c>
      <c r="B317" s="24" t="s">
        <v>229</v>
      </c>
      <c r="C317" s="19">
        <f>8281209+83655+1023047-30</f>
        <v>9387881</v>
      </c>
      <c r="D317" s="19">
        <v>252904</v>
      </c>
      <c r="E317" s="19">
        <v>218698</v>
      </c>
      <c r="F317" s="278">
        <f>21698-136</f>
        <v>21562</v>
      </c>
      <c r="G317" s="55">
        <f>311613+4029</f>
        <v>315642</v>
      </c>
      <c r="H317" s="19">
        <v>39576</v>
      </c>
      <c r="I317" s="19">
        <f>146985+798+1939</f>
        <v>149722</v>
      </c>
      <c r="J317" s="19">
        <v>483821</v>
      </c>
      <c r="K317" s="19">
        <v>35533</v>
      </c>
      <c r="L317" s="19">
        <v>42855</v>
      </c>
      <c r="M317" s="19">
        <v>38255</v>
      </c>
      <c r="N317" s="19">
        <f>201820-1939</f>
        <v>199881</v>
      </c>
      <c r="O317" s="56">
        <f>69801-3251-11938</f>
        <v>54612</v>
      </c>
      <c r="P317" s="120">
        <f t="shared" si="46"/>
        <v>11240942</v>
      </c>
      <c r="Q317" s="170"/>
      <c r="R317" s="170"/>
      <c r="S317" s="180"/>
      <c r="T317" s="186"/>
    </row>
    <row r="318" spans="1:20" ht="15">
      <c r="A318" s="81">
        <v>2000</v>
      </c>
      <c r="B318" s="24" t="s">
        <v>140</v>
      </c>
      <c r="C318" s="19">
        <f aca="true" t="shared" si="47" ref="C318:O318">SUM(C319:C323)</f>
        <v>17229294</v>
      </c>
      <c r="D318" s="19">
        <f t="shared" si="47"/>
        <v>1949802</v>
      </c>
      <c r="E318" s="19">
        <f t="shared" si="47"/>
        <v>609846</v>
      </c>
      <c r="F318" s="19">
        <f t="shared" si="47"/>
        <v>376068</v>
      </c>
      <c r="G318" s="52">
        <f t="shared" si="47"/>
        <v>651189</v>
      </c>
      <c r="H318" s="19">
        <f t="shared" si="47"/>
        <v>350879</v>
      </c>
      <c r="I318" s="19">
        <f t="shared" si="47"/>
        <v>440782</v>
      </c>
      <c r="J318" s="19">
        <f t="shared" si="47"/>
        <v>1289351</v>
      </c>
      <c r="K318" s="19">
        <f t="shared" si="47"/>
        <v>256410</v>
      </c>
      <c r="L318" s="19">
        <f t="shared" si="47"/>
        <v>119843</v>
      </c>
      <c r="M318" s="19">
        <f t="shared" si="47"/>
        <v>162318</v>
      </c>
      <c r="N318" s="19">
        <f t="shared" si="47"/>
        <v>210612</v>
      </c>
      <c r="O318" s="56">
        <f t="shared" si="47"/>
        <v>111579</v>
      </c>
      <c r="P318" s="120">
        <f t="shared" si="46"/>
        <v>23757973</v>
      </c>
      <c r="Q318" s="170"/>
      <c r="R318" s="170"/>
      <c r="S318" s="180"/>
      <c r="T318" s="186"/>
    </row>
    <row r="319" spans="1:20" ht="30">
      <c r="A319" s="81">
        <v>2100</v>
      </c>
      <c r="B319" s="24" t="s">
        <v>254</v>
      </c>
      <c r="C319" s="19">
        <f>272029-1028-2000+400+55985</f>
        <v>325386</v>
      </c>
      <c r="D319" s="19">
        <v>2500</v>
      </c>
      <c r="E319" s="19"/>
      <c r="F319" s="19"/>
      <c r="G319" s="52">
        <v>500</v>
      </c>
      <c r="H319" s="19">
        <v>30</v>
      </c>
      <c r="I319" s="19"/>
      <c r="J319" s="19">
        <v>110056</v>
      </c>
      <c r="K319" s="19"/>
      <c r="L319" s="19"/>
      <c r="M319" s="8">
        <v>50</v>
      </c>
      <c r="N319" s="19">
        <v>236</v>
      </c>
      <c r="O319" s="56">
        <v>650</v>
      </c>
      <c r="P319" s="120">
        <f t="shared" si="46"/>
        <v>439408</v>
      </c>
      <c r="Q319" s="170"/>
      <c r="R319" s="170"/>
      <c r="S319" s="180"/>
      <c r="T319" s="186"/>
    </row>
    <row r="320" spans="1:20" ht="15">
      <c r="A320" s="81">
        <v>2200</v>
      </c>
      <c r="B320" s="24" t="s">
        <v>141</v>
      </c>
      <c r="C320" s="19">
        <f>13263516-710792-6000-400+10000+83860+10000</f>
        <v>12650184</v>
      </c>
      <c r="D320" s="19">
        <v>1486827</v>
      </c>
      <c r="E320" s="19">
        <v>495662</v>
      </c>
      <c r="F320" s="19">
        <v>351575</v>
      </c>
      <c r="G320" s="52">
        <v>403711</v>
      </c>
      <c r="H320" s="8">
        <v>308256</v>
      </c>
      <c r="I320" s="19">
        <v>326495</v>
      </c>
      <c r="J320" s="8">
        <v>820277</v>
      </c>
      <c r="K320" s="19">
        <v>173940</v>
      </c>
      <c r="L320" s="19">
        <v>80033</v>
      </c>
      <c r="M320" s="8">
        <v>118708</v>
      </c>
      <c r="N320" s="19">
        <v>106351</v>
      </c>
      <c r="O320" s="56">
        <f>53386+1936+29387</f>
        <v>84709</v>
      </c>
      <c r="P320" s="120">
        <f t="shared" si="46"/>
        <v>17406728</v>
      </c>
      <c r="Q320" s="170"/>
      <c r="R320" s="170"/>
      <c r="S320" s="180"/>
      <c r="T320" s="186"/>
    </row>
    <row r="321" spans="1:20" ht="45">
      <c r="A321" s="81">
        <v>2300</v>
      </c>
      <c r="B321" s="24" t="s">
        <v>142</v>
      </c>
      <c r="C321" s="19">
        <f>3546581+320046+184220-10000</f>
        <v>4040847</v>
      </c>
      <c r="D321" s="19">
        <v>191879</v>
      </c>
      <c r="E321" s="19">
        <v>106184</v>
      </c>
      <c r="F321" s="19">
        <v>12785</v>
      </c>
      <c r="G321" s="52">
        <v>244805</v>
      </c>
      <c r="H321" s="19">
        <v>37646</v>
      </c>
      <c r="I321" s="19">
        <v>108879</v>
      </c>
      <c r="J321" s="8">
        <v>347598</v>
      </c>
      <c r="K321" s="19">
        <v>76327</v>
      </c>
      <c r="L321" s="19">
        <v>36690</v>
      </c>
      <c r="M321" s="19">
        <v>42110</v>
      </c>
      <c r="N321" s="19">
        <v>97625</v>
      </c>
      <c r="O321" s="56">
        <f>23584+906+1480</f>
        <v>25970</v>
      </c>
      <c r="P321" s="120">
        <f t="shared" si="46"/>
        <v>5369345</v>
      </c>
      <c r="Q321" s="170"/>
      <c r="R321" s="170"/>
      <c r="S321" s="180"/>
      <c r="T321" s="186"/>
    </row>
    <row r="322" spans="1:20" ht="15">
      <c r="A322" s="81">
        <v>2400</v>
      </c>
      <c r="B322" s="24" t="s">
        <v>143</v>
      </c>
      <c r="C322" s="19">
        <f>19382-300-210</f>
        <v>18872</v>
      </c>
      <c r="D322" s="19"/>
      <c r="E322" s="19"/>
      <c r="F322" s="19"/>
      <c r="G322" s="52">
        <v>1900</v>
      </c>
      <c r="H322" s="19">
        <v>460</v>
      </c>
      <c r="I322" s="19">
        <v>600</v>
      </c>
      <c r="J322" s="19">
        <v>1130</v>
      </c>
      <c r="K322" s="19">
        <v>2449</v>
      </c>
      <c r="L322" s="19">
        <v>1820</v>
      </c>
      <c r="M322" s="19">
        <v>950</v>
      </c>
      <c r="N322" s="19">
        <v>2034</v>
      </c>
      <c r="O322" s="56"/>
      <c r="P322" s="120">
        <f t="shared" si="46"/>
        <v>30215</v>
      </c>
      <c r="Q322" s="170"/>
      <c r="R322" s="170"/>
      <c r="S322" s="180"/>
      <c r="T322" s="186"/>
    </row>
    <row r="323" spans="1:20" ht="15">
      <c r="A323" s="81">
        <v>2500</v>
      </c>
      <c r="B323" s="24" t="s">
        <v>144</v>
      </c>
      <c r="C323" s="19">
        <f>122999+381+70625</f>
        <v>194005</v>
      </c>
      <c r="D323" s="19">
        <v>268596</v>
      </c>
      <c r="E323" s="19">
        <v>8000</v>
      </c>
      <c r="F323" s="19">
        <v>11708</v>
      </c>
      <c r="G323" s="52">
        <v>273</v>
      </c>
      <c r="H323" s="19">
        <v>4487</v>
      </c>
      <c r="I323" s="19">
        <v>4808</v>
      </c>
      <c r="J323" s="19">
        <v>10290</v>
      </c>
      <c r="K323" s="19">
        <v>3694</v>
      </c>
      <c r="L323" s="19">
        <v>1300</v>
      </c>
      <c r="M323" s="19">
        <v>500</v>
      </c>
      <c r="N323" s="19">
        <v>4366</v>
      </c>
      <c r="O323" s="56">
        <v>250</v>
      </c>
      <c r="P323" s="120">
        <f t="shared" si="46"/>
        <v>512277</v>
      </c>
      <c r="Q323" s="170"/>
      <c r="R323" s="170"/>
      <c r="S323" s="180"/>
      <c r="T323" s="186"/>
    </row>
    <row r="324" spans="1:20" ht="30">
      <c r="A324" s="81">
        <v>3200</v>
      </c>
      <c r="B324" s="24" t="s">
        <v>230</v>
      </c>
      <c r="C324" s="19">
        <f>5571686-91249+8000-10000+239816+30</f>
        <v>5718283</v>
      </c>
      <c r="D324" s="19"/>
      <c r="E324" s="19"/>
      <c r="F324" s="19"/>
      <c r="G324" s="52"/>
      <c r="H324" s="19"/>
      <c r="I324" s="19"/>
      <c r="J324" s="19"/>
      <c r="K324" s="19"/>
      <c r="L324" s="19"/>
      <c r="M324" s="19"/>
      <c r="N324" s="19"/>
      <c r="O324" s="56"/>
      <c r="P324" s="120">
        <f t="shared" si="46"/>
        <v>5718283</v>
      </c>
      <c r="Q324" s="170"/>
      <c r="R324" s="170"/>
      <c r="S324" s="180"/>
      <c r="T324" s="186"/>
    </row>
    <row r="325" spans="1:20" ht="15">
      <c r="A325" s="81">
        <v>4300</v>
      </c>
      <c r="B325" s="24" t="s">
        <v>145</v>
      </c>
      <c r="C325" s="19">
        <v>110739</v>
      </c>
      <c r="D325" s="19"/>
      <c r="E325" s="19"/>
      <c r="F325" s="19"/>
      <c r="G325" s="52"/>
      <c r="H325" s="19"/>
      <c r="I325" s="19"/>
      <c r="J325" s="19"/>
      <c r="K325" s="19"/>
      <c r="L325" s="19"/>
      <c r="M325" s="19"/>
      <c r="N325" s="19"/>
      <c r="O325" s="56"/>
      <c r="P325" s="120">
        <f t="shared" si="46"/>
        <v>110739</v>
      </c>
      <c r="Q325" s="170"/>
      <c r="R325" s="170"/>
      <c r="S325" s="180"/>
      <c r="T325" s="186"/>
    </row>
    <row r="326" spans="1:20" ht="15">
      <c r="A326" s="81">
        <v>5100</v>
      </c>
      <c r="B326" s="24" t="s">
        <v>111</v>
      </c>
      <c r="C326" s="19">
        <f>118225-4419-6145</f>
        <v>107661</v>
      </c>
      <c r="D326" s="19"/>
      <c r="E326" s="19">
        <v>5877</v>
      </c>
      <c r="F326" s="19">
        <v>450</v>
      </c>
      <c r="G326" s="52"/>
      <c r="H326" s="19"/>
      <c r="I326" s="19"/>
      <c r="J326" s="19"/>
      <c r="K326" s="19"/>
      <c r="L326" s="19"/>
      <c r="M326" s="19"/>
      <c r="N326" s="19"/>
      <c r="O326" s="56"/>
      <c r="P326" s="120">
        <f t="shared" si="46"/>
        <v>113988</v>
      </c>
      <c r="Q326" s="170"/>
      <c r="R326" s="170"/>
      <c r="S326" s="180"/>
      <c r="T326" s="186"/>
    </row>
    <row r="327" spans="1:20" ht="15">
      <c r="A327" s="81">
        <v>5200</v>
      </c>
      <c r="B327" s="24" t="s">
        <v>146</v>
      </c>
      <c r="C327" s="19">
        <f>37646173+5674878+5022003</f>
        <v>48343054</v>
      </c>
      <c r="D327" s="19">
        <v>850927</v>
      </c>
      <c r="E327" s="19">
        <v>119778</v>
      </c>
      <c r="F327" s="19">
        <f>7562-450</f>
        <v>7112</v>
      </c>
      <c r="G327" s="52">
        <v>67459</v>
      </c>
      <c r="H327" s="19">
        <v>34959</v>
      </c>
      <c r="I327" s="19">
        <f>49163+430</f>
        <v>49593</v>
      </c>
      <c r="J327" s="19">
        <f>80677+5500</f>
        <v>86177</v>
      </c>
      <c r="K327" s="19">
        <v>16431</v>
      </c>
      <c r="L327" s="19">
        <v>23347</v>
      </c>
      <c r="M327" s="19">
        <v>37488</v>
      </c>
      <c r="N327" s="19">
        <v>39361</v>
      </c>
      <c r="O327" s="56">
        <f>600+14192+17010</f>
        <v>31802</v>
      </c>
      <c r="P327" s="120">
        <f t="shared" si="46"/>
        <v>49707488</v>
      </c>
      <c r="Q327" s="170"/>
      <c r="R327" s="170"/>
      <c r="S327" s="180"/>
      <c r="T327" s="186"/>
    </row>
    <row r="328" spans="1:20" ht="15">
      <c r="A328" s="81">
        <v>6200</v>
      </c>
      <c r="B328" s="24" t="s">
        <v>147</v>
      </c>
      <c r="C328" s="19">
        <f>884862+512678+700668</f>
        <v>2098208</v>
      </c>
      <c r="D328" s="19"/>
      <c r="E328" s="19"/>
      <c r="F328" s="19"/>
      <c r="G328" s="52">
        <v>3000</v>
      </c>
      <c r="H328" s="19">
        <v>3000</v>
      </c>
      <c r="I328" s="19">
        <v>977</v>
      </c>
      <c r="J328" s="19"/>
      <c r="K328" s="209"/>
      <c r="L328" s="19">
        <v>3000</v>
      </c>
      <c r="M328" s="19">
        <v>3000</v>
      </c>
      <c r="N328" s="19"/>
      <c r="O328" s="56"/>
      <c r="P328" s="120">
        <f t="shared" si="46"/>
        <v>2111185</v>
      </c>
      <c r="Q328" s="170"/>
      <c r="R328" s="170"/>
      <c r="S328" s="180"/>
      <c r="T328" s="186"/>
    </row>
    <row r="329" spans="1:20" ht="15">
      <c r="A329" s="81">
        <v>6300</v>
      </c>
      <c r="B329" s="24" t="s">
        <v>148</v>
      </c>
      <c r="C329" s="19">
        <f>789699-95000+38000</f>
        <v>732699</v>
      </c>
      <c r="D329" s="19"/>
      <c r="E329" s="19"/>
      <c r="F329" s="19"/>
      <c r="G329" s="52"/>
      <c r="H329" s="19"/>
      <c r="I329" s="19"/>
      <c r="J329" s="19"/>
      <c r="K329" s="19"/>
      <c r="L329" s="19"/>
      <c r="M329" s="19"/>
      <c r="N329" s="19"/>
      <c r="O329" s="56"/>
      <c r="P329" s="120">
        <f t="shared" si="46"/>
        <v>732699</v>
      </c>
      <c r="Q329" s="170"/>
      <c r="R329" s="170"/>
      <c r="S329" s="186"/>
      <c r="T329" s="186"/>
    </row>
    <row r="330" spans="1:20" ht="30">
      <c r="A330" s="81">
        <v>6400</v>
      </c>
      <c r="B330" s="24" t="s">
        <v>231</v>
      </c>
      <c r="C330" s="19">
        <f>1659185-6557+5441</f>
        <v>1658069</v>
      </c>
      <c r="D330" s="19"/>
      <c r="E330" s="19"/>
      <c r="F330" s="19"/>
      <c r="G330" s="52"/>
      <c r="H330" s="19"/>
      <c r="I330" s="19"/>
      <c r="J330" s="19">
        <v>515</v>
      </c>
      <c r="K330" s="19"/>
      <c r="L330" s="19"/>
      <c r="M330" s="19"/>
      <c r="N330" s="19"/>
      <c r="O330" s="56"/>
      <c r="P330" s="120">
        <f t="shared" si="46"/>
        <v>1658584</v>
      </c>
      <c r="Q330" s="170"/>
      <c r="R330" s="170"/>
      <c r="S330" s="180"/>
      <c r="T330" s="186"/>
    </row>
    <row r="331" spans="1:20" ht="30">
      <c r="A331" s="81">
        <v>6500</v>
      </c>
      <c r="B331" s="24" t="s">
        <v>255</v>
      </c>
      <c r="C331" s="19">
        <v>45</v>
      </c>
      <c r="D331" s="19"/>
      <c r="E331" s="19"/>
      <c r="F331" s="19"/>
      <c r="G331" s="52"/>
      <c r="H331" s="19"/>
      <c r="I331" s="19"/>
      <c r="J331" s="19"/>
      <c r="K331" s="19"/>
      <c r="L331" s="19"/>
      <c r="M331" s="19"/>
      <c r="N331" s="19"/>
      <c r="O331" s="56"/>
      <c r="P331" s="120">
        <f t="shared" si="46"/>
        <v>45</v>
      </c>
      <c r="Q331" s="170"/>
      <c r="R331" s="170"/>
      <c r="S331" s="180"/>
      <c r="T331" s="186"/>
    </row>
    <row r="332" spans="1:20" ht="16.5" customHeight="1" thickBot="1">
      <c r="A332" s="81">
        <v>7200</v>
      </c>
      <c r="B332" s="24" t="s">
        <v>232</v>
      </c>
      <c r="C332" s="19">
        <f>698000+428+21664+2742</f>
        <v>722834</v>
      </c>
      <c r="D332" s="19"/>
      <c r="E332" s="19"/>
      <c r="F332" s="19"/>
      <c r="G332" s="52"/>
      <c r="H332" s="19"/>
      <c r="I332" s="19"/>
      <c r="J332" s="19"/>
      <c r="K332" s="19"/>
      <c r="L332" s="19"/>
      <c r="M332" s="19"/>
      <c r="N332" s="19"/>
      <c r="O332" s="56"/>
      <c r="P332" s="120">
        <f t="shared" si="46"/>
        <v>722834</v>
      </c>
      <c r="Q332" s="170"/>
      <c r="R332" s="170"/>
      <c r="S332" s="180"/>
      <c r="T332" s="186"/>
    </row>
    <row r="333" spans="1:20" ht="15.75" thickBot="1">
      <c r="A333" s="167"/>
      <c r="B333" s="195" t="s">
        <v>149</v>
      </c>
      <c r="C333" s="196">
        <f aca="true" t="shared" si="48" ref="C333:O333">SUM(C316:C318,C324:C332)</f>
        <v>118899336</v>
      </c>
      <c r="D333" s="196">
        <f t="shared" si="48"/>
        <v>4047973</v>
      </c>
      <c r="E333" s="196">
        <f t="shared" si="48"/>
        <v>1688067</v>
      </c>
      <c r="F333" s="196">
        <f t="shared" si="48"/>
        <v>477145</v>
      </c>
      <c r="G333" s="196">
        <f t="shared" si="48"/>
        <v>2135370</v>
      </c>
      <c r="H333" s="196">
        <f t="shared" si="48"/>
        <v>567126</v>
      </c>
      <c r="I333" s="196">
        <f t="shared" si="48"/>
        <v>1154065</v>
      </c>
      <c r="J333" s="196">
        <f t="shared" si="48"/>
        <v>3548561</v>
      </c>
      <c r="K333" s="196">
        <f t="shared" si="48"/>
        <v>426318</v>
      </c>
      <c r="L333" s="196">
        <f t="shared" si="48"/>
        <v>328657</v>
      </c>
      <c r="M333" s="196">
        <f t="shared" si="48"/>
        <v>374665</v>
      </c>
      <c r="N333" s="196">
        <f t="shared" si="48"/>
        <v>1101632</v>
      </c>
      <c r="O333" s="196">
        <f t="shared" si="48"/>
        <v>361099</v>
      </c>
      <c r="P333" s="44">
        <f>SUM(C333:O333)</f>
        <v>135110014</v>
      </c>
      <c r="Q333" s="170"/>
      <c r="R333" s="170"/>
      <c r="S333" s="180"/>
      <c r="T333" s="186"/>
    </row>
    <row r="334" spans="2:20" ht="15">
      <c r="B334" s="197"/>
      <c r="C334" s="185"/>
      <c r="D334" s="30"/>
      <c r="E334" s="30"/>
      <c r="F334" s="30"/>
      <c r="Q334" s="170"/>
      <c r="R334" s="170"/>
      <c r="S334" s="180"/>
      <c r="T334" s="186"/>
    </row>
    <row r="335" spans="2:20" ht="15">
      <c r="B335" s="197"/>
      <c r="C335" s="185"/>
      <c r="D335" s="30"/>
      <c r="E335" s="30"/>
      <c r="F335" s="30"/>
      <c r="P335" s="169"/>
      <c r="Q335" s="170"/>
      <c r="R335" s="170"/>
      <c r="S335" s="180"/>
      <c r="T335" s="186"/>
    </row>
    <row r="336" spans="2:20" ht="15">
      <c r="B336" s="198" t="s">
        <v>245</v>
      </c>
      <c r="C336" s="185"/>
      <c r="D336" s="30" t="s">
        <v>20</v>
      </c>
      <c r="E336" s="30"/>
      <c r="F336" s="30"/>
      <c r="Q336" s="170"/>
      <c r="R336" s="170"/>
      <c r="S336" s="180"/>
      <c r="T336" s="186"/>
    </row>
    <row r="337" spans="17:20" ht="15">
      <c r="Q337" s="170"/>
      <c r="R337" s="170"/>
      <c r="S337" s="180"/>
      <c r="T337" s="186"/>
    </row>
    <row r="338" spans="17:20" ht="15">
      <c r="Q338" s="170"/>
      <c r="R338" s="170"/>
      <c r="S338" s="180"/>
      <c r="T338" s="186"/>
    </row>
    <row r="339" spans="17:20" ht="15">
      <c r="Q339" s="170"/>
      <c r="R339" s="170"/>
      <c r="S339" s="180"/>
      <c r="T339" s="186"/>
    </row>
    <row r="340" spans="17:20" ht="15">
      <c r="Q340" s="170"/>
      <c r="R340" s="170"/>
      <c r="S340" s="180"/>
      <c r="T340" s="186"/>
    </row>
    <row r="341" spans="2:20" ht="15">
      <c r="B341" s="198"/>
      <c r="Q341" s="170"/>
      <c r="R341" s="170"/>
      <c r="S341" s="180"/>
      <c r="T341" s="186"/>
    </row>
    <row r="342" spans="17:20" ht="15">
      <c r="Q342" s="170"/>
      <c r="R342" s="170"/>
      <c r="S342" s="180"/>
      <c r="T342" s="186"/>
    </row>
    <row r="343" spans="17:20" ht="34.5" customHeight="1">
      <c r="Q343" s="170"/>
      <c r="R343" s="170"/>
      <c r="S343" s="180"/>
      <c r="T343" s="186"/>
    </row>
    <row r="344" spans="17:20" ht="34.5" customHeight="1">
      <c r="Q344" s="170"/>
      <c r="R344" s="170"/>
      <c r="S344" s="180"/>
      <c r="T344" s="186"/>
    </row>
    <row r="345" spans="17:20" ht="15">
      <c r="Q345" s="170"/>
      <c r="R345" s="170"/>
      <c r="S345" s="186"/>
      <c r="T345" s="186"/>
    </row>
    <row r="346" spans="17:20" ht="15">
      <c r="Q346" s="170"/>
      <c r="R346" s="170"/>
      <c r="S346" s="180"/>
      <c r="T346" s="186"/>
    </row>
    <row r="347" spans="17:18" ht="15">
      <c r="Q347" s="170"/>
      <c r="R347" s="170"/>
    </row>
    <row r="348" spans="17:18" ht="15">
      <c r="Q348" s="170"/>
      <c r="R348" s="170"/>
    </row>
    <row r="349" spans="17:18" ht="15">
      <c r="Q349" s="170"/>
      <c r="R349" s="170"/>
    </row>
    <row r="350" spans="17:20" ht="15">
      <c r="Q350" s="170"/>
      <c r="R350" s="170"/>
      <c r="T350" s="30"/>
    </row>
    <row r="351" spans="17:18" ht="15">
      <c r="Q351" s="170"/>
      <c r="R351" s="170"/>
    </row>
    <row r="352" spans="17:18" ht="15">
      <c r="Q352" s="170"/>
      <c r="R352" s="170"/>
    </row>
    <row r="353" spans="17:18" ht="15">
      <c r="Q353" s="179"/>
      <c r="R353" s="179"/>
    </row>
    <row r="354" spans="17:18" ht="15">
      <c r="Q354" s="179"/>
      <c r="R354" s="179"/>
    </row>
    <row r="355" spans="17:18" ht="15">
      <c r="Q355" s="169"/>
      <c r="R355" s="169"/>
    </row>
    <row r="356" spans="17:18" ht="44.25" customHeight="1">
      <c r="Q356" s="169"/>
      <c r="R356" s="169"/>
    </row>
    <row r="357" spans="17:20" ht="15">
      <c r="Q357" s="198"/>
      <c r="R357" s="198"/>
      <c r="S357" s="9"/>
      <c r="T357" s="9"/>
    </row>
    <row r="358" spans="17:18" ht="15">
      <c r="Q358" s="170"/>
      <c r="R358" s="170"/>
    </row>
    <row r="359" spans="17:18" ht="15">
      <c r="Q359" s="170"/>
      <c r="R359" s="170"/>
    </row>
    <row r="360" spans="17:18" ht="15">
      <c r="Q360" s="170"/>
      <c r="R360" s="170"/>
    </row>
    <row r="361" spans="17:18" ht="15">
      <c r="Q361" s="170"/>
      <c r="R361" s="170"/>
    </row>
    <row r="362" spans="17:18" ht="15">
      <c r="Q362" s="170"/>
      <c r="R362" s="170"/>
    </row>
    <row r="363" spans="17:18" ht="15">
      <c r="Q363" s="170"/>
      <c r="R363" s="170"/>
    </row>
    <row r="364" spans="17:18" ht="15">
      <c r="Q364" s="170"/>
      <c r="R364" s="170"/>
    </row>
    <row r="365" spans="17:18" ht="15">
      <c r="Q365" s="170"/>
      <c r="R365" s="170"/>
    </row>
    <row r="366" spans="17:18" ht="15">
      <c r="Q366" s="170"/>
      <c r="R366" s="170"/>
    </row>
    <row r="367" spans="17:18" ht="15">
      <c r="Q367" s="170"/>
      <c r="R367" s="170"/>
    </row>
    <row r="368" spans="17:18" ht="15">
      <c r="Q368" s="170"/>
      <c r="R368" s="170"/>
    </row>
    <row r="369" spans="17:18" ht="15">
      <c r="Q369" s="170"/>
      <c r="R369" s="170"/>
    </row>
    <row r="370" spans="17:18" ht="15">
      <c r="Q370" s="170"/>
      <c r="R370" s="170"/>
    </row>
    <row r="371" spans="17:18" ht="15">
      <c r="Q371" s="170"/>
      <c r="R371" s="170"/>
    </row>
    <row r="372" spans="17:18" ht="15">
      <c r="Q372" s="170"/>
      <c r="R372" s="170"/>
    </row>
    <row r="373" spans="17:18" ht="15">
      <c r="Q373" s="170"/>
      <c r="R373" s="170"/>
    </row>
    <row r="374" spans="17:18" ht="15">
      <c r="Q374" s="170"/>
      <c r="R374" s="170"/>
    </row>
    <row r="375" spans="17:18" ht="15">
      <c r="Q375" s="170"/>
      <c r="R375" s="170"/>
    </row>
    <row r="376" spans="17:18" ht="15">
      <c r="Q376" s="170"/>
      <c r="R376" s="170"/>
    </row>
    <row r="377" spans="17:18" ht="15">
      <c r="Q377" s="170"/>
      <c r="R377" s="170"/>
    </row>
    <row r="378" spans="17:18" ht="15">
      <c r="Q378" s="170"/>
      <c r="R378" s="170"/>
    </row>
    <row r="379" spans="17:18" ht="15">
      <c r="Q379" s="170"/>
      <c r="R379" s="170"/>
    </row>
    <row r="380" spans="17:18" ht="15">
      <c r="Q380" s="170"/>
      <c r="R380" s="170"/>
    </row>
    <row r="381" spans="17:18" ht="15">
      <c r="Q381" s="170"/>
      <c r="R381" s="170"/>
    </row>
    <row r="382" spans="17:18" ht="15">
      <c r="Q382" s="170"/>
      <c r="R382" s="170"/>
    </row>
    <row r="384" spans="17:18" ht="15">
      <c r="Q384" s="169"/>
      <c r="R384" s="169"/>
    </row>
  </sheetData>
  <sheetProtection/>
  <mergeCells count="2">
    <mergeCell ref="A5:C5"/>
    <mergeCell ref="A314:C314"/>
  </mergeCells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Arita Bauska</cp:lastModifiedBy>
  <cp:lastPrinted>2022-10-27T11:14:14Z</cp:lastPrinted>
  <dcterms:created xsi:type="dcterms:W3CDTF">2006-04-20T10:34:24Z</dcterms:created>
  <dcterms:modified xsi:type="dcterms:W3CDTF">2022-10-27T11:14:48Z</dcterms:modified>
  <cp:category/>
  <cp:version/>
  <cp:contentType/>
  <cp:contentStatus/>
</cp:coreProperties>
</file>