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amatbudžets Pielikums Nr.1" sheetId="1" r:id="rId1"/>
    <sheet name="Pamatbudžets Pielikums Nr.2" sheetId="2" r:id="rId2"/>
  </sheets>
  <definedNames/>
  <calcPr fullCalcOnLoad="1"/>
</workbook>
</file>

<file path=xl/sharedStrings.xml><?xml version="1.0" encoding="utf-8"?>
<sst xmlns="http://schemas.openxmlformats.org/spreadsheetml/2006/main" count="720" uniqueCount="693">
  <si>
    <t xml:space="preserve">   </t>
  </si>
  <si>
    <t>Pielikums Nr.1</t>
  </si>
  <si>
    <t>Ogres novada pašvaldības domes</t>
  </si>
  <si>
    <t>Kods</t>
  </si>
  <si>
    <t xml:space="preserve">Pozīcijas nosaukums             </t>
  </si>
  <si>
    <t>Nodokļu ieņēmumi</t>
  </si>
  <si>
    <t>1.1.1.0.</t>
  </si>
  <si>
    <t>Ieņēmumi no iedzīvotāju ienākuma nodokļa</t>
  </si>
  <si>
    <t>4.0.0.0.</t>
  </si>
  <si>
    <t>Īpašuma nodokļi</t>
  </si>
  <si>
    <t>4.1.0.0.</t>
  </si>
  <si>
    <t>Nekustamā īpašuma nodoklis</t>
  </si>
  <si>
    <t>4.1.1.0.</t>
  </si>
  <si>
    <t>Nekustamā īpašuma nodoklis par zemi</t>
  </si>
  <si>
    <t>4.1.2.0.</t>
  </si>
  <si>
    <t xml:space="preserve">Nekustamā īpašuma nodoklis par ēkām </t>
  </si>
  <si>
    <t>4.1.3.0.</t>
  </si>
  <si>
    <t>Nekustamā īpašuma nodoklis par mājokļiem</t>
  </si>
  <si>
    <t>5.4.1.0.</t>
  </si>
  <si>
    <t>Azartspēļu nodoklis</t>
  </si>
  <si>
    <t>5.5.3.0.</t>
  </si>
  <si>
    <t>Dabas resursu nodoklis</t>
  </si>
  <si>
    <t>Nenodokļu ieņēmumi</t>
  </si>
  <si>
    <t>8.3.0.0.</t>
  </si>
  <si>
    <t>Īeņēmumi no dividendēm</t>
  </si>
  <si>
    <t>8.6.0.0.</t>
  </si>
  <si>
    <t>Procentu ieņēmumi par depozītiem, kontu atlikumiem un vērtpapīriem</t>
  </si>
  <si>
    <t>9.4.0.0.</t>
  </si>
  <si>
    <t>Valsts nodevas, kuras ieskaita pašvaldību budžetā</t>
  </si>
  <si>
    <t>9.5.0.0.</t>
  </si>
  <si>
    <t>Pašvaldību nodevas</t>
  </si>
  <si>
    <t>10.1.0.0.</t>
  </si>
  <si>
    <t>Naudas sodi</t>
  </si>
  <si>
    <t>12.0.0.0.</t>
  </si>
  <si>
    <t>Pārējie nenodokļu ieņēmumi</t>
  </si>
  <si>
    <t>13.0.0.0.</t>
  </si>
  <si>
    <t>Ieņēmumi no pašvaldības īpašuma iznomāšanas, pārdošanas un nodokļu pamatp.kapitaliz.</t>
  </si>
  <si>
    <t>17.2.0.0.</t>
  </si>
  <si>
    <t>Pašvaldību saņemtie transferti no valsts budžeta daļēji finansētām atvasinātām publiskām personām un no budžeta nefinansētām iestādēm</t>
  </si>
  <si>
    <t>18.0.0.0.</t>
  </si>
  <si>
    <t>Valsts budžeta transferti</t>
  </si>
  <si>
    <t>18.6.0.0.</t>
  </si>
  <si>
    <t>Pašvaldību saņemtie transferti no valsts budžeta</t>
  </si>
  <si>
    <t>19.0.0.0.</t>
  </si>
  <si>
    <t>Pašvaldību budžetu transferti</t>
  </si>
  <si>
    <t>19.1.0.0.</t>
  </si>
  <si>
    <t>Pašvaldības budžeta iekšējie transferti starp vienas pašvaldības budžeta veidiem</t>
  </si>
  <si>
    <t>19.2.0.0.</t>
  </si>
  <si>
    <t>Pašvaldību saņemtie transferti no citām pašvaldībām</t>
  </si>
  <si>
    <t>19.3.0.0.</t>
  </si>
  <si>
    <t xml:space="preserve">Pašvaldības un tās iestāžu savstarpējie transferti </t>
  </si>
  <si>
    <t>21.0.0.0.</t>
  </si>
  <si>
    <t>Budžeta iestāžu ieņēmumi</t>
  </si>
  <si>
    <t>21.1.0.0.</t>
  </si>
  <si>
    <t xml:space="preserve">Budžeta iestādes ieņēmumi no ārvalstu finanšu palīdzības </t>
  </si>
  <si>
    <t>21.3.0.0.</t>
  </si>
  <si>
    <t>Ieņēmumi no budžeta iestāžu sniegtajiem maksas pakalpojumiem un citi pašu ieņēmumi</t>
  </si>
  <si>
    <t>21.3.5.0.</t>
  </si>
  <si>
    <t>Maksa par izglītības pakalpojumiem</t>
  </si>
  <si>
    <t>21.3.8.0.</t>
  </si>
  <si>
    <t>Ieņēmumi par nomu un īri</t>
  </si>
  <si>
    <t>21.3.9.0.</t>
  </si>
  <si>
    <t>Ieņēmumi par pārējiem budžeta iestāžu maksas pakalpojumiem</t>
  </si>
  <si>
    <t>21.4.9.0</t>
  </si>
  <si>
    <t>Pārējie iepriekš neklasificētie pašu ieņēmumi</t>
  </si>
  <si>
    <t>KOPĀ IEŅĒMUMI</t>
  </si>
  <si>
    <t>F40 02 00 10</t>
  </si>
  <si>
    <t>Valsts kases aizņēmumi</t>
  </si>
  <si>
    <t>Kopā ar kredītresursiem:</t>
  </si>
  <si>
    <t>F20010000 AS</t>
  </si>
  <si>
    <t>Kapitālieguldījumu fondu akcijas</t>
  </si>
  <si>
    <t>Kopā ar budžeta atlikumu</t>
  </si>
  <si>
    <t>Budžeta nodaļas vadītāja</t>
  </si>
  <si>
    <t>S.Velberga</t>
  </si>
  <si>
    <t>Pielikums Nr.2</t>
  </si>
  <si>
    <t>01.000</t>
  </si>
  <si>
    <t>Vispārējie valdības dienesti</t>
  </si>
  <si>
    <t>01.100</t>
  </si>
  <si>
    <t xml:space="preserve">Izpildvaras un likumdošanas varas  institūcijas </t>
  </si>
  <si>
    <t>01.300</t>
  </si>
  <si>
    <t>Pārējo vispārējas  nozīmes dienestu darbība un pakalpojumi</t>
  </si>
  <si>
    <t>01.6001</t>
  </si>
  <si>
    <t>Pārējie iepriekš neklasificētie vispārējie valdības dienesti (Vēlēšanas)</t>
  </si>
  <si>
    <t>01.720</t>
  </si>
  <si>
    <t>Pašvaldību budžetu parāda darījumi</t>
  </si>
  <si>
    <t>01.721</t>
  </si>
  <si>
    <t>Pašvaldību budžetu valsts iekšējā parāda darījumi</t>
  </si>
  <si>
    <t>Vispārēja rakstura transferti no pašvaldību budžeta valsts budžetam</t>
  </si>
  <si>
    <t>01.830</t>
  </si>
  <si>
    <t>Vispārēja rakstura transferti no pašvaldību budžeta pašvaldību budžetam</t>
  </si>
  <si>
    <t>01.83011</t>
  </si>
  <si>
    <t>Norēķini ar citu pašvaldību izglītības iestādēm</t>
  </si>
  <si>
    <t>01.890</t>
  </si>
  <si>
    <t xml:space="preserve">Izdevumi neparedzētiem gadījumiem </t>
  </si>
  <si>
    <t>03.000</t>
  </si>
  <si>
    <t>Sabiedriskā kārtība un drošība</t>
  </si>
  <si>
    <t>Pašvaldības policija</t>
  </si>
  <si>
    <t>03.200</t>
  </si>
  <si>
    <t>Ugunsdrošības, glābšanas un civilās drošības dienesti</t>
  </si>
  <si>
    <t>03.2001</t>
  </si>
  <si>
    <t>Pārējie sabiedriskās kārtības un drošības pakalpojumi (Video novērošanai)</t>
  </si>
  <si>
    <t>03.6002</t>
  </si>
  <si>
    <t>Atskurbtuves pakalpojumiem</t>
  </si>
  <si>
    <t>04.000</t>
  </si>
  <si>
    <t>Ekonomiskā darbība</t>
  </si>
  <si>
    <t>04.111</t>
  </si>
  <si>
    <t>Vispārējas ekonomiskas darbības vadība</t>
  </si>
  <si>
    <t>04.11101</t>
  </si>
  <si>
    <t>Uzņēmējdarbības  attīstības veicināšanai</t>
  </si>
  <si>
    <t>04.11102</t>
  </si>
  <si>
    <t>Projektu pieteikumu izstrāde, tehniskās dokumentācijas sagatavošana</t>
  </si>
  <si>
    <t>04.11103</t>
  </si>
  <si>
    <t>Informatīvi pasākumi uzņēmējiem</t>
  </si>
  <si>
    <t>04.11116</t>
  </si>
  <si>
    <t>Ogres novadnieka karte</t>
  </si>
  <si>
    <t>04.4301</t>
  </si>
  <si>
    <t>Būvvalde</t>
  </si>
  <si>
    <t>04.510</t>
  </si>
  <si>
    <t>Autotransports</t>
  </si>
  <si>
    <t>04.510010</t>
  </si>
  <si>
    <t xml:space="preserve">Ceļu būvniecībai un remontiem </t>
  </si>
  <si>
    <t>04.510011</t>
  </si>
  <si>
    <t>04.510012</t>
  </si>
  <si>
    <t>Ceļu būvniecībai un remontiem Ķeguma Birzgales pagasts</t>
  </si>
  <si>
    <t>04.510013</t>
  </si>
  <si>
    <t>Ceļu būvniecībai un remontiem Lielvārde</t>
  </si>
  <si>
    <t>04.510014</t>
  </si>
  <si>
    <t xml:space="preserve">Ceļu būvniecībai un remontiem Lielvārdes Lēdmanes pagasts </t>
  </si>
  <si>
    <t>04.510015</t>
  </si>
  <si>
    <t>Ceļu būvniecībai un remontiem Lielvārdes Jumpravas pagasts</t>
  </si>
  <si>
    <t>04.510016</t>
  </si>
  <si>
    <t xml:space="preserve">Ceļu būvniecībai un remontiem Ikšķile </t>
  </si>
  <si>
    <t>04.51004</t>
  </si>
  <si>
    <t>Pārējais autotransports</t>
  </si>
  <si>
    <t>04.51047</t>
  </si>
  <si>
    <t>04.51052</t>
  </si>
  <si>
    <t>04.600</t>
  </si>
  <si>
    <t>Sakari</t>
  </si>
  <si>
    <t>04.6001</t>
  </si>
  <si>
    <t>Publisko interneta pieejas punktu attīstība</t>
  </si>
  <si>
    <t>04.7301</t>
  </si>
  <si>
    <t>04.7302</t>
  </si>
  <si>
    <t>“Tūrisma, sporta un atpūtas komplekss“ ZILIE KALNI”</t>
  </si>
  <si>
    <t>04.7303</t>
  </si>
  <si>
    <t>Kultūras mantojuma centrs "Tīnūžu muiža"</t>
  </si>
  <si>
    <t>05.000</t>
  </si>
  <si>
    <t>Vides aizsardzība</t>
  </si>
  <si>
    <t>05.100</t>
  </si>
  <si>
    <t>Atkritumu apsaimniekošana</t>
  </si>
  <si>
    <t>05.1001</t>
  </si>
  <si>
    <t>Ielu tīrīšanai, atkritumu savākšanai,teritoriju labiekārtošanai</t>
  </si>
  <si>
    <t>05.1007</t>
  </si>
  <si>
    <t>Koncesija atkritumu apsaimniekošana</t>
  </si>
  <si>
    <t>05.200</t>
  </si>
  <si>
    <t>Notekūdeņu apsaimniekošana</t>
  </si>
  <si>
    <t>05.2001</t>
  </si>
  <si>
    <t xml:space="preserve">Lietus ūdens kanalizācija </t>
  </si>
  <si>
    <t>05.2002</t>
  </si>
  <si>
    <t>Notekūdeņu (savākšana un attīrīšana)</t>
  </si>
  <si>
    <t>05.300</t>
  </si>
  <si>
    <t>Vides piesārņojuma novēršana un samazināšana</t>
  </si>
  <si>
    <t>05.30017</t>
  </si>
  <si>
    <t>Ēkas Skolas ielā 4, Ikšķilē, energoefektivitātes uzlabošana un pārbūve par pašvaldības daudzfunkcionālu pakalpojumu centru</t>
  </si>
  <si>
    <t>05.400</t>
  </si>
  <si>
    <t>Bioloģiskās daudzveidības un ainavas aizsardzība</t>
  </si>
  <si>
    <t>05.4001</t>
  </si>
  <si>
    <t>06.000</t>
  </si>
  <si>
    <t>Pašvaldības teritoriju un mājokļu apsaimniekošana</t>
  </si>
  <si>
    <t>06.100</t>
  </si>
  <si>
    <t xml:space="preserve">Mājokļu attīstība </t>
  </si>
  <si>
    <t>06.1001</t>
  </si>
  <si>
    <t>Mājokļu attīstība pašvaldībā</t>
  </si>
  <si>
    <t>06.2001</t>
  </si>
  <si>
    <t>Teritoriju attīstība ( projektēšanai )</t>
  </si>
  <si>
    <t>06.300</t>
  </si>
  <si>
    <t>Ūdensapgāde</t>
  </si>
  <si>
    <t>06.3001</t>
  </si>
  <si>
    <t>Vispārējie ūdens apgādes izdevumi</t>
  </si>
  <si>
    <t>Ielu apgaismošana</t>
  </si>
  <si>
    <t>06.600</t>
  </si>
  <si>
    <t>Pārējā citur nekvalificētā pašvaldību teritoriju un mājokļu apsaimniekošanas darbība</t>
  </si>
  <si>
    <t>06.60001</t>
  </si>
  <si>
    <t>Mājokļu apsaimniekošana</t>
  </si>
  <si>
    <t>06.60002</t>
  </si>
  <si>
    <t>Siltumapgāde</t>
  </si>
  <si>
    <t>06.60003</t>
  </si>
  <si>
    <t>Kapu saimniecība</t>
  </si>
  <si>
    <t>06.60006</t>
  </si>
  <si>
    <t>Projektu konkurss "Veidojam vidi ap mums Ogres novadā"</t>
  </si>
  <si>
    <t>06.60007</t>
  </si>
  <si>
    <t>Īpašumu uzmērīšanai un reģistrēšanai Zemesgrāmatā</t>
  </si>
  <si>
    <t>06.60008</t>
  </si>
  <si>
    <t>Pārējie izdevumi</t>
  </si>
  <si>
    <t>06.60009</t>
  </si>
  <si>
    <t>Nevalstisko organizāciju projektu atbalstam</t>
  </si>
  <si>
    <t>06.600121</t>
  </si>
  <si>
    <t>Ogres pilsētā un Ogresgala pārvaldē</t>
  </si>
  <si>
    <t>06.600122</t>
  </si>
  <si>
    <t>Lēdmanes pārvaldē</t>
  </si>
  <si>
    <t>06.600123</t>
  </si>
  <si>
    <t>Jumpravas pārvaldē</t>
  </si>
  <si>
    <t>06.600124</t>
  </si>
  <si>
    <t>Lielvārdes pārvaldē</t>
  </si>
  <si>
    <t>06.600125</t>
  </si>
  <si>
    <t>Birzgale pārvaldē</t>
  </si>
  <si>
    <t>06.600126</t>
  </si>
  <si>
    <t>Tomes pārvaldē</t>
  </si>
  <si>
    <t>06.600127</t>
  </si>
  <si>
    <t>Rembates pārvaldē</t>
  </si>
  <si>
    <t>06.600128</t>
  </si>
  <si>
    <t>Ķeguma pārvaldē</t>
  </si>
  <si>
    <t>06.600129</t>
  </si>
  <si>
    <t>06.60022</t>
  </si>
  <si>
    <t>SIA Ogres namsaimnieks finansējums domes deliģēto funkciju izpildei</t>
  </si>
  <si>
    <t>06.60017</t>
  </si>
  <si>
    <t>SIA Ikšķiles māja finansējums domes deliģēto funkciju izpildei</t>
  </si>
  <si>
    <t>06.60024</t>
  </si>
  <si>
    <t>SIA Lielvārdes Remte- finansējums domes deliģētās funkcijas izpildei</t>
  </si>
  <si>
    <t>06.60025</t>
  </si>
  <si>
    <t>SIA Ķeguma Stars- finansējums domes deliģētās funkcijas izpildei</t>
  </si>
  <si>
    <t>07.000</t>
  </si>
  <si>
    <t>Veselība</t>
  </si>
  <si>
    <t>07.210</t>
  </si>
  <si>
    <t>Ambulatorās ārstniecības iestādes</t>
  </si>
  <si>
    <t>07.2101</t>
  </si>
  <si>
    <t>07.4501</t>
  </si>
  <si>
    <t>SAM 9.2.4.2. Pasākumi vietējās sabiedrības slimību profilaksei un veselības veicināšanai</t>
  </si>
  <si>
    <t>07.4502</t>
  </si>
  <si>
    <t xml:space="preserve">Veselības veicināšanas pasākumiem </t>
  </si>
  <si>
    <t>08.000</t>
  </si>
  <si>
    <t>Atpūta, kultūra un reliģija</t>
  </si>
  <si>
    <t>08.100</t>
  </si>
  <si>
    <t>Atpūtas un sporta  pasākumi</t>
  </si>
  <si>
    <t>08.1001</t>
  </si>
  <si>
    <t xml:space="preserve"> Sporta pasākumu rīkošanai </t>
  </si>
  <si>
    <t>08.1002</t>
  </si>
  <si>
    <t>08.1004</t>
  </si>
  <si>
    <t>Struktūrvienība peldbaseins  "Neptūns"</t>
  </si>
  <si>
    <t>08.200</t>
  </si>
  <si>
    <t>Kultūra</t>
  </si>
  <si>
    <t>08.210</t>
  </si>
  <si>
    <t xml:space="preserve">    Bibliotēkas </t>
  </si>
  <si>
    <t>08.2101</t>
  </si>
  <si>
    <t>Ogres centrālā bibliotēka</t>
  </si>
  <si>
    <t>08.2103</t>
  </si>
  <si>
    <t>Ikšķiles pilsētas bibliotēka</t>
  </si>
  <si>
    <t>08.2104</t>
  </si>
  <si>
    <t>Tīnūžu bibliotēka</t>
  </si>
  <si>
    <t>08.2105</t>
  </si>
  <si>
    <t>Ķeguma pilsētas bibliotēka (tai skaitā Ķegums, Tome, Rembate)</t>
  </si>
  <si>
    <t>08.2106</t>
  </si>
  <si>
    <t>Birzgales bibliotēka</t>
  </si>
  <si>
    <t>08.2107</t>
  </si>
  <si>
    <t>Jumpravas bibliotēka</t>
  </si>
  <si>
    <t>08.2108</t>
  </si>
  <si>
    <t>Lēdmanes bibliotēka</t>
  </si>
  <si>
    <t>08.2109</t>
  </si>
  <si>
    <t>Lielvārdes pilsētas, Lāčplēša bibliotēka</t>
  </si>
  <si>
    <t>08.220</t>
  </si>
  <si>
    <t xml:space="preserve">    Muzeji un izstādes</t>
  </si>
  <si>
    <t>08.2202</t>
  </si>
  <si>
    <t>Ogres vēstures un mākslas muzejs</t>
  </si>
  <si>
    <t>08.2204</t>
  </si>
  <si>
    <t>Sudrabu Edžus memoriālā istaba</t>
  </si>
  <si>
    <t>08.2205</t>
  </si>
  <si>
    <t>A. Pumpura Lielvārdes muzejs</t>
  </si>
  <si>
    <t>08.2206</t>
  </si>
  <si>
    <t>Birzgales muzejs "Rūķi"</t>
  </si>
  <si>
    <t>08.2207</t>
  </si>
  <si>
    <t>Ķeguma novada muzejs</t>
  </si>
  <si>
    <t>08.230</t>
  </si>
  <si>
    <t xml:space="preserve">    Kultūras centri, nami</t>
  </si>
  <si>
    <t>08.2301</t>
  </si>
  <si>
    <t>Kultūras centri - tautas nami</t>
  </si>
  <si>
    <t>08.2302</t>
  </si>
  <si>
    <t>Finansējums  "Ogres novada kultūras centrs"</t>
  </si>
  <si>
    <t>08.2303</t>
  </si>
  <si>
    <t>Komunikāciju centrs Ķeipenē</t>
  </si>
  <si>
    <t>08.2304</t>
  </si>
  <si>
    <t>Ikšķiles tautas nams</t>
  </si>
  <si>
    <t>08.2305</t>
  </si>
  <si>
    <t>Tīnūžu tautas nams</t>
  </si>
  <si>
    <t>08.2306</t>
  </si>
  <si>
    <t>Lielvārdes kultūras centrs (tai skaitā Jumpravas un Lēdmanes)</t>
  </si>
  <si>
    <t>08.2307</t>
  </si>
  <si>
    <t>Ķeguma tautas nams</t>
  </si>
  <si>
    <t>08.2308</t>
  </si>
  <si>
    <t>Birzgales tautas nams</t>
  </si>
  <si>
    <t>08.2309</t>
  </si>
  <si>
    <t>Rembates tautas nams</t>
  </si>
  <si>
    <t>08.2310</t>
  </si>
  <si>
    <t>Tomes tautas nams</t>
  </si>
  <si>
    <t>08.290</t>
  </si>
  <si>
    <t>Pārējā citur neklasificētā kultūra</t>
  </si>
  <si>
    <t>08.29001</t>
  </si>
  <si>
    <t>Kultūras aktivitātes / pasākumi</t>
  </si>
  <si>
    <t>08.29002</t>
  </si>
  <si>
    <t>Pilsētas dekorēšana svētkiem</t>
  </si>
  <si>
    <t>08.29011</t>
  </si>
  <si>
    <t>Projektu konkurss RADI Ogres novadam (Kultūras, sporta un izglītības pasākumi, mācības, kursi)</t>
  </si>
  <si>
    <t>08.29027</t>
  </si>
  <si>
    <t>Ķeguma Dienas centrs</t>
  </si>
  <si>
    <t>08.29028</t>
  </si>
  <si>
    <t>Tomes  Dienas  centrs</t>
  </si>
  <si>
    <t>08.29031</t>
  </si>
  <si>
    <t>Ēkas ''Viļņi" pārbūve Ķeipenē</t>
  </si>
  <si>
    <t>08.29032</t>
  </si>
  <si>
    <t>Būvprojekta "Muzikālais teātris" izstrāde</t>
  </si>
  <si>
    <t>08.300</t>
  </si>
  <si>
    <t>Apraides un izdevniecības pakalpojumi</t>
  </si>
  <si>
    <t>08.3101</t>
  </si>
  <si>
    <t>Televīzija</t>
  </si>
  <si>
    <t>08.3301</t>
  </si>
  <si>
    <t>Izdevniecība ( Novada informatīvie izdevumi )</t>
  </si>
  <si>
    <t>08.4001</t>
  </si>
  <si>
    <t>Reliģisko organizāciju un citu biedrību un nodibinājumu pakalpojumi (Sakrālā mantojuma saglabāšana)</t>
  </si>
  <si>
    <t>09.000</t>
  </si>
  <si>
    <t>Izglītība</t>
  </si>
  <si>
    <t>09.100</t>
  </si>
  <si>
    <t xml:space="preserve">Pirmsskolas izglītība </t>
  </si>
  <si>
    <t>09.10002</t>
  </si>
  <si>
    <t>PII  "Cīrulītis"</t>
  </si>
  <si>
    <t>09.10003</t>
  </si>
  <si>
    <t>PII  "Dzīpariņš"</t>
  </si>
  <si>
    <t>09.10004</t>
  </si>
  <si>
    <t>PII  "Zelta sietiņš"</t>
  </si>
  <si>
    <t>09.10005</t>
  </si>
  <si>
    <t>PII  "Saulīte"</t>
  </si>
  <si>
    <t>09.10006</t>
  </si>
  <si>
    <t>PII " Ābelīte"</t>
  </si>
  <si>
    <t>09.10007</t>
  </si>
  <si>
    <t>PII " Strautiņš"</t>
  </si>
  <si>
    <t>09.10008</t>
  </si>
  <si>
    <t>PII "Riekstiņš"</t>
  </si>
  <si>
    <t>09.10009</t>
  </si>
  <si>
    <t>PII "Taurenītis"</t>
  </si>
  <si>
    <t>09.10010</t>
  </si>
  <si>
    <t>Finansējums bērniem, kuri apmeklē privātās pirmsskolas izglītības iestādes</t>
  </si>
  <si>
    <t>09.10012</t>
  </si>
  <si>
    <t>PII "Urdaviņa"</t>
  </si>
  <si>
    <t>09.10013</t>
  </si>
  <si>
    <t>PII "Čiekuriņš"</t>
  </si>
  <si>
    <t>09.10014</t>
  </si>
  <si>
    <t xml:space="preserve">PII "Gaismiņa"   </t>
  </si>
  <si>
    <t>09.10015</t>
  </si>
  <si>
    <t xml:space="preserve">PII "Birztaliņa"   </t>
  </si>
  <si>
    <t>09.10016</t>
  </si>
  <si>
    <t xml:space="preserve"> VPII "Pūt vējiņi"   </t>
  </si>
  <si>
    <t>09.211</t>
  </si>
  <si>
    <t>Sākumskolas (ISCED-97 1. līmenis)</t>
  </si>
  <si>
    <t>09.21102</t>
  </si>
  <si>
    <t>Tīnūžu sākumskola</t>
  </si>
  <si>
    <t>09.219</t>
  </si>
  <si>
    <t>Vispārējās izglītības mācību iestāžu izdevumi (ISCED-97 1.- 3. līmenis)</t>
  </si>
  <si>
    <t>09.21901</t>
  </si>
  <si>
    <t>Ogres 1. vidusskola</t>
  </si>
  <si>
    <t>09.21902</t>
  </si>
  <si>
    <t>09.21903</t>
  </si>
  <si>
    <t>Jaunogres vidusskola</t>
  </si>
  <si>
    <t>09.21904</t>
  </si>
  <si>
    <t xml:space="preserve">Ogresgala pamatskola </t>
  </si>
  <si>
    <t>09.21905</t>
  </si>
  <si>
    <t xml:space="preserve">Ķeipenes pamatskola </t>
  </si>
  <si>
    <t>09.21906</t>
  </si>
  <si>
    <t>Madlienas vidusskola</t>
  </si>
  <si>
    <t>09.21907</t>
  </si>
  <si>
    <t>Taurupes pamatskola</t>
  </si>
  <si>
    <t>09.21908</t>
  </si>
  <si>
    <t>Suntažu vidusskola</t>
  </si>
  <si>
    <t>09.21912</t>
  </si>
  <si>
    <t>Finansējums bērniem, kuri apmeklē privātās izglītības iestādes</t>
  </si>
  <si>
    <t>09.21913</t>
  </si>
  <si>
    <t>Ķeguma vidusskola</t>
  </si>
  <si>
    <t>09.21914</t>
  </si>
  <si>
    <t xml:space="preserve">Birzgales pamatskola   </t>
  </si>
  <si>
    <t>09.21915</t>
  </si>
  <si>
    <t xml:space="preserve">Lielvārdes pamatskola </t>
  </si>
  <si>
    <t>09.21916</t>
  </si>
  <si>
    <t xml:space="preserve">Lēdmanes pamatskola </t>
  </si>
  <si>
    <t>09.21917</t>
  </si>
  <si>
    <t>Jumpravas pamatskola</t>
  </si>
  <si>
    <t>09.21918</t>
  </si>
  <si>
    <t>Valdemāra pamatskola</t>
  </si>
  <si>
    <t>09.21919</t>
  </si>
  <si>
    <t>09.21920</t>
  </si>
  <si>
    <t>Ikšķiles vidusskola</t>
  </si>
  <si>
    <t>09.21921</t>
  </si>
  <si>
    <t>Ogres centra pamatskola</t>
  </si>
  <si>
    <t>09.510</t>
  </si>
  <si>
    <t>Interešu un profesionālās ievirzes izglītība</t>
  </si>
  <si>
    <t>09.5101</t>
  </si>
  <si>
    <t>Sporta centrs</t>
  </si>
  <si>
    <t>09.5102</t>
  </si>
  <si>
    <t>Basketbola skola</t>
  </si>
  <si>
    <t>09.5103</t>
  </si>
  <si>
    <t>Lielvārdes sporta centrs</t>
  </si>
  <si>
    <t>09.5106</t>
  </si>
  <si>
    <t>Madlienas mūzikas un mākslas skola</t>
  </si>
  <si>
    <t>09.5107</t>
  </si>
  <si>
    <t>Ogres Mūzikas un mākslas skola</t>
  </si>
  <si>
    <t>09.5108</t>
  </si>
  <si>
    <t>Birzgales mūzikas skola</t>
  </si>
  <si>
    <t>09.5109</t>
  </si>
  <si>
    <t>Lielvārdes Mūzikas un mākslas skola</t>
  </si>
  <si>
    <t>09.5110</t>
  </si>
  <si>
    <t>Ikšķiles Mūzikas un mākslas skola</t>
  </si>
  <si>
    <t>Finansējums bērniem, kuri apmeklē privātās interešu izglītības iestādes</t>
  </si>
  <si>
    <t>09.600</t>
  </si>
  <si>
    <t>Izglītības papildu pakalpojumi</t>
  </si>
  <si>
    <t>09.610</t>
  </si>
  <si>
    <t>Izglītojamo pārvadājumu pakalpojumi</t>
  </si>
  <si>
    <t>09.6101</t>
  </si>
  <si>
    <t>09.620</t>
  </si>
  <si>
    <t>Izglītojamo ēdināšanas pakalpojumi</t>
  </si>
  <si>
    <t>09.6201</t>
  </si>
  <si>
    <t>Ēdināšanas izmaksu kompensācijas PII</t>
  </si>
  <si>
    <t>09.6202</t>
  </si>
  <si>
    <t>Ēdināšana skolās, tai skatā (1.-4.kl.)</t>
  </si>
  <si>
    <t>09.630</t>
  </si>
  <si>
    <t>Izglītojamo izmitināšanas pakalpojumi</t>
  </si>
  <si>
    <t>09.810</t>
  </si>
  <si>
    <t>Pārējā izglītības vadība (Izglītības pārvalde)</t>
  </si>
  <si>
    <t>09.820</t>
  </si>
  <si>
    <t>Pārējā citur neklasificētā izglītība (izglītības projektu realizācija)</t>
  </si>
  <si>
    <t>09.82001</t>
  </si>
  <si>
    <t>Karjeras atbalsts vispārējās un profesionālās izglītības iestādēs</t>
  </si>
  <si>
    <t>09.82002</t>
  </si>
  <si>
    <t>Atbalsts priekšlaicīgas mācību pārtraukšanas samazināšanai (Pumpurs)</t>
  </si>
  <si>
    <t>09.82003</t>
  </si>
  <si>
    <t>Latvijas Skolas Soma</t>
  </si>
  <si>
    <t>09.82010</t>
  </si>
  <si>
    <t>Sadarbībā ar Rīgas tehnisko universitāti, BJU interešu izglītības nodarbības un ekskursijas</t>
  </si>
  <si>
    <t>09.82022</t>
  </si>
  <si>
    <t>Jaunas VPII ēkas būvniecība pie Lielvārdes pamatskolas</t>
  </si>
  <si>
    <t>09.82024</t>
  </si>
  <si>
    <t>Ogres novada pašvaldības jaunatnes iniciatīvu projektu konkurss "Jauniešu iespējas"</t>
  </si>
  <si>
    <t>09.82032</t>
  </si>
  <si>
    <t>Pārējās izglītības iestāžu pedagogu profesionālās kompetences  pilnveide (Ģimnāzija)</t>
  </si>
  <si>
    <t>09.82039</t>
  </si>
  <si>
    <t>Atbalsts izglītojamo individuālo kompetenču attīstībai</t>
  </si>
  <si>
    <t>09.82071</t>
  </si>
  <si>
    <t>Kaibalas skolas pārbūve par pirmsskolas izglītības iestādi</t>
  </si>
  <si>
    <t>09.82072</t>
  </si>
  <si>
    <t>ERASMUS projekts mācību mobilitāte skolu sektorā (Madliena)</t>
  </si>
  <si>
    <t>09.82073</t>
  </si>
  <si>
    <t>Pašvaldības sociālā stipendija vispārējās vidējās izglītības iestāžu izglītojamajiem</t>
  </si>
  <si>
    <t>09.82074</t>
  </si>
  <si>
    <t>Pašvaldības stipendija studējošiem pedagogiem</t>
  </si>
  <si>
    <t>09.82075</t>
  </si>
  <si>
    <t>Erasmus programmas projekts Nr.2022-1-LV01-KA121-SCH-000059464, Mācību mobilitāte skolu sektorā, (ģimnāzija)</t>
  </si>
  <si>
    <t>10.000</t>
  </si>
  <si>
    <t>Sociālā aizsardzība</t>
  </si>
  <si>
    <t>10.400</t>
  </si>
  <si>
    <t>Atbalsts ģimenēm ar bērniem (Bāriņtiesas)</t>
  </si>
  <si>
    <t>10.500</t>
  </si>
  <si>
    <t>Atbalsts bezdarba gadījumā</t>
  </si>
  <si>
    <t>10.600</t>
  </si>
  <si>
    <t>Mājokļa atbalsts</t>
  </si>
  <si>
    <t>10.700</t>
  </si>
  <si>
    <t>Pārējais citur neklasificēts atbalsts sociāli atstumtām personām</t>
  </si>
  <si>
    <t>10.70001</t>
  </si>
  <si>
    <t xml:space="preserve">Sociālais dienests </t>
  </si>
  <si>
    <t>10.70002</t>
  </si>
  <si>
    <t>Pabalsts maznodrošinātām ģimenēm</t>
  </si>
  <si>
    <t>10.70003</t>
  </si>
  <si>
    <t>Sociālā dienesta asistentu pakalpojumi</t>
  </si>
  <si>
    <t>10.70005</t>
  </si>
  <si>
    <t>Pansionāts "Madliena"</t>
  </si>
  <si>
    <t>10.70006</t>
  </si>
  <si>
    <t>Jauniešu garantijas ietvaros projekta "PROTI un DARI!" īstenošana</t>
  </si>
  <si>
    <t>10.70010</t>
  </si>
  <si>
    <t xml:space="preserve">Sabiedriskās organizācijas </t>
  </si>
  <si>
    <t>10.900</t>
  </si>
  <si>
    <t>Pārējā citur neklasificētā sociālā aizsardzība</t>
  </si>
  <si>
    <t>10.920</t>
  </si>
  <si>
    <t>Pārējie citur neklasificētie sociālās aizsardzības pasākumi ( Ukrainas civiliedzīvotāju atbalstam)</t>
  </si>
  <si>
    <t>Kopā izdevumi:</t>
  </si>
  <si>
    <t>F40 02 00 20</t>
  </si>
  <si>
    <t xml:space="preserve">Aizņēmumu atmaksa        </t>
  </si>
  <si>
    <t>F55 01 00 10</t>
  </si>
  <si>
    <t>SIA "Lielvārdes Remte" ieguldījums pamatkapitālā</t>
  </si>
  <si>
    <t>PSIA "Ikšķiles māja" ieguldījums pamatkapitālā</t>
  </si>
  <si>
    <t>SIA "Zelta Liepa Debesu Bļodā" ieguldījums pamatkapitālā</t>
  </si>
  <si>
    <t>F20010000 AB</t>
  </si>
  <si>
    <t>Līdzekļu atlikums uz gada beigām (Kases apgrozāmie līdzekļi)  F22010020</t>
  </si>
  <si>
    <t>01.830    7230</t>
  </si>
  <si>
    <t>Pašvaldību  uzturēšanas izdevumu transferti padotības iestādēm</t>
  </si>
  <si>
    <t>Atalgojums</t>
  </si>
  <si>
    <t>Darba devēja valsts sociālās apdrošināšanas obligātās iemaksas, sociālā rakstura pabalsti un kompensācijas</t>
  </si>
  <si>
    <t>Preces un pakalpojumi</t>
  </si>
  <si>
    <t>Mācību, darba un dienesta komandējumi, dienesta, darba braucieni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</si>
  <si>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</si>
  <si>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</si>
  <si>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</si>
  <si>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</si>
  <si>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>Subsīdijas un dotācijas komersantiem, biedrībām un nodibinājumiem</t>
  </si>
  <si>
    <t>Procentu maksājumi iekšzemes kredītiestādēm</t>
  </si>
  <si>
    <t xml:space="preserve">Pārējie procentu maksājumi </t>
  </si>
  <si>
    <t>Nemateriālie ieguldījumi</t>
  </si>
  <si>
    <t>Pamatlīdzekļi</t>
  </si>
  <si>
    <t xml:space="preserve">Sociālie pabalsti naudā </t>
  </si>
  <si>
    <t>Sociālie pabalsti natūrā</t>
  </si>
  <si>
    <t>Pārējie maksājumi iedzīvotājiem natūrā un kompensācijas</t>
  </si>
  <si>
    <t>Kompensācijas, kuras izmaksā personām, pamatojoties uz Latvijas tiesu nolēmumiem</t>
  </si>
  <si>
    <t>Pašvaldību uzturēšanas izdevumu transferti</t>
  </si>
  <si>
    <t>Pārējie valsts budžeta uzturēšanas izdevumu transferti citiem budžetiem</t>
  </si>
  <si>
    <t>Starptautiskā sadarbība</t>
  </si>
  <si>
    <t>Zaudējumi no valūtas kursa svārstībām</t>
  </si>
  <si>
    <t>Pārējie iepriekš neuzskaitītie budžeta izdevumi, kas veidojas pēc uzkrāšanas principa un nav uzskaitīti citos 8000 apakškodos</t>
  </si>
  <si>
    <t>Kapitālo izdevumu transferti</t>
  </si>
  <si>
    <t xml:space="preserve"> IZDEVUMI KOPĀ</t>
  </si>
  <si>
    <t xml:space="preserve">Edgara Kauliņa Lielvārdes vidusskola </t>
  </si>
  <si>
    <t>03.6001</t>
  </si>
  <si>
    <t>06.4002</t>
  </si>
  <si>
    <t>F55010000</t>
  </si>
  <si>
    <t>01.8201</t>
  </si>
  <si>
    <t>06.4001</t>
  </si>
  <si>
    <t>09.82077</t>
  </si>
  <si>
    <t>NORDPLUS Junior "Teaching and Learning of Primary Students by Moving and Playing" Nr. NPJR-2022/10045, (Madliena)</t>
  </si>
  <si>
    <t>Tūrisma plānošanas un attīstības nodaļa</t>
  </si>
  <si>
    <t>Klinšu kāpšanas sienas ekspluatācijai</t>
  </si>
  <si>
    <t>04.510017</t>
  </si>
  <si>
    <t>Ceļu būvniecībai un remontiem Ķegums (Rembate)</t>
  </si>
  <si>
    <t>09.82078</t>
  </si>
  <si>
    <t>Projekts "Mobils un aktīvs"</t>
  </si>
  <si>
    <t>04.510018</t>
  </si>
  <si>
    <t>Ceļu būvniecībai un remontiem Ķegums (Tome)</t>
  </si>
  <si>
    <t xml:space="preserve">Ceļu būvniecībai un remontiem Ķegums </t>
  </si>
  <si>
    <t>08.1003</t>
  </si>
  <si>
    <t>Ielu apgaismošana - Ikšķile</t>
  </si>
  <si>
    <t xml:space="preserve">Komandas vai individuālu sacensību dalībnieku atbalstam </t>
  </si>
  <si>
    <t>Lielvārdes pilsētas Rembates ielas, Stacijas ielas, Uzvaras ielas, Andreja Pumpura ielas un Meža ielas posmu būvniecībai</t>
  </si>
  <si>
    <t>Strēlnieku prospekta (no Dārza ielas līdz Jāņa Čakstes prospektam), Ogrē būvniecība</t>
  </si>
  <si>
    <t>03.1101</t>
  </si>
  <si>
    <t>04.510019</t>
  </si>
  <si>
    <t>04.510020</t>
  </si>
  <si>
    <t>04.510021</t>
  </si>
  <si>
    <t>04.510022</t>
  </si>
  <si>
    <t>04.510023</t>
  </si>
  <si>
    <t>04.510024</t>
  </si>
  <si>
    <t>04.510025</t>
  </si>
  <si>
    <t>04.510026</t>
  </si>
  <si>
    <t>Ceļu būvniecībai un remontiem Suntaži</t>
  </si>
  <si>
    <t>Ceļu būvniecībai un remontiem Laubere</t>
  </si>
  <si>
    <t>Ceļu būvniecībai un remontiem Ķeipene</t>
  </si>
  <si>
    <t>Ceļu būvniecībai un remontiem Madliena</t>
  </si>
  <si>
    <t>Ceļu būvniecībai un remontiem Krape</t>
  </si>
  <si>
    <t>Ceļu būvniecībai un remontiem Mazozoli</t>
  </si>
  <si>
    <t>Ceļu būvniecībai un remontiem Meņģele</t>
  </si>
  <si>
    <t>Ceļu būvniecībai un remontiem Taurupe</t>
  </si>
  <si>
    <t>05.20021</t>
  </si>
  <si>
    <t>Notekūdeņu (savākšana un attīrīšana) - Laubere</t>
  </si>
  <si>
    <t>05.20022</t>
  </si>
  <si>
    <t>Notekūdeņu (savākšana un attīrīšana) - Ķeipene</t>
  </si>
  <si>
    <t>05.20023</t>
  </si>
  <si>
    <t>Notekūdeņu (savākšana un attīrīšana) - Madliena</t>
  </si>
  <si>
    <t>05.20024</t>
  </si>
  <si>
    <t>Notekūdeņu (savākšana un attīrīšana) - Krape</t>
  </si>
  <si>
    <t>05.20025</t>
  </si>
  <si>
    <t>Notekūdeņu (savākšana un attīrīšana) - Mazozoli</t>
  </si>
  <si>
    <t>05.20026</t>
  </si>
  <si>
    <t>Notekūdeņu (savākšana un attīrīšana) - Meņģele</t>
  </si>
  <si>
    <t>05.20027</t>
  </si>
  <si>
    <t>Notekūdeņu (savākšana un attīrīšana) - Taurupe</t>
  </si>
  <si>
    <t>06.30011</t>
  </si>
  <si>
    <t>06.30012</t>
  </si>
  <si>
    <t>06.30013</t>
  </si>
  <si>
    <t>06.30014</t>
  </si>
  <si>
    <t>06.30015</t>
  </si>
  <si>
    <t>06.30016</t>
  </si>
  <si>
    <t>06.30017</t>
  </si>
  <si>
    <t>Vispārējie ūdens apgādes izdevumi - Laubere</t>
  </si>
  <si>
    <t>Vispārējie ūdens apgādes izdevumi - Ķeipene</t>
  </si>
  <si>
    <t>Vispārējie ūdens apgādes izdevumi - Madliena</t>
  </si>
  <si>
    <t>Vispārējie ūdens apgādes izdevumi - Krape</t>
  </si>
  <si>
    <t>Vispārējie ūdens apgādes izdevumi - Mazozoli</t>
  </si>
  <si>
    <t>Vispārējie ūdens apgādes izdevumi - Meņģele</t>
  </si>
  <si>
    <t>Vispārējie ūdens apgādes izdevumi - Taurupe</t>
  </si>
  <si>
    <t>06.600130</t>
  </si>
  <si>
    <t>06.600131</t>
  </si>
  <si>
    <t>06.600132</t>
  </si>
  <si>
    <t>06.600133</t>
  </si>
  <si>
    <t>06.600134</t>
  </si>
  <si>
    <t>06.600135</t>
  </si>
  <si>
    <t>06.600136</t>
  </si>
  <si>
    <t>06.600137</t>
  </si>
  <si>
    <t>Suntažu pagasta pārvalde</t>
  </si>
  <si>
    <t>Lauberes pagasta pārvalde</t>
  </si>
  <si>
    <t>Ķeipenes pagasta pārvalde</t>
  </si>
  <si>
    <t>Madlienas pagasta pārvalde</t>
  </si>
  <si>
    <t>Krapes pagasta pārvalde</t>
  </si>
  <si>
    <t>Mazozolu pagasta pārvalde</t>
  </si>
  <si>
    <t>Meņģeles pagasta pārvalde</t>
  </si>
  <si>
    <t>Taurupes pagasta pārvalde</t>
  </si>
  <si>
    <t>06.60045</t>
  </si>
  <si>
    <t>Investīciju proj. "Muzikālais teātris Rīgas ielā 15, Ogrē, Ogres novadā. 1. kārta "Neatkarības laukuma un tā pieguļošās teritorijas Ogrē pārbūve""</t>
  </si>
  <si>
    <t>07.2102</t>
  </si>
  <si>
    <t>Ģimenes ārstu prakse Mazozolos</t>
  </si>
  <si>
    <t>08.2110</t>
  </si>
  <si>
    <t>08.2111</t>
  </si>
  <si>
    <t>08.2112</t>
  </si>
  <si>
    <t>08.2113</t>
  </si>
  <si>
    <t>08.2114</t>
  </si>
  <si>
    <t>08.2115</t>
  </si>
  <si>
    <t>08.2116</t>
  </si>
  <si>
    <t>08.2117</t>
  </si>
  <si>
    <t>Suntažu bibliotēka</t>
  </si>
  <si>
    <t>Lauberes bibliotēka</t>
  </si>
  <si>
    <t>Ķeipenes bibiotēka</t>
  </si>
  <si>
    <t>Madlienas bibliotēka</t>
  </si>
  <si>
    <t>Krapes bibliotēka</t>
  </si>
  <si>
    <t>Mazozolu bibliotēka</t>
  </si>
  <si>
    <t>Meņģeles bibliotēka</t>
  </si>
  <si>
    <t>Taurupes bibliotēka</t>
  </si>
  <si>
    <t>08.2311</t>
  </si>
  <si>
    <t>08.2312</t>
  </si>
  <si>
    <t>08.2313</t>
  </si>
  <si>
    <t>08.2314</t>
  </si>
  <si>
    <t>08.2315</t>
  </si>
  <si>
    <t>08.2316</t>
  </si>
  <si>
    <t>08.2317</t>
  </si>
  <si>
    <t>08.2318</t>
  </si>
  <si>
    <t>Suntažu kultūras nams</t>
  </si>
  <si>
    <t>Lauberes kultūras nams</t>
  </si>
  <si>
    <t>Ķeipenes kultūras nams</t>
  </si>
  <si>
    <t>Madlienas kultūras nams</t>
  </si>
  <si>
    <t>Krapes kultūras nams</t>
  </si>
  <si>
    <t>Meņģeles kultūras nams</t>
  </si>
  <si>
    <t>Taurupes kultūras nams</t>
  </si>
  <si>
    <t>09.6204</t>
  </si>
  <si>
    <t>Ukraiņu bērnu ēdināšana</t>
  </si>
  <si>
    <t>09.82079</t>
  </si>
  <si>
    <t>Proj. Elektrotransporta un uzlādes stacijas iegāde ONP skolēnu mobilitātes veicināšanai"</t>
  </si>
  <si>
    <t>09.82081</t>
  </si>
  <si>
    <t>Erasmus programmas projekts Nr.2023-1-LV01-KA121-SCH 000147014 Personu mobilitāte mācību nolūkos.(1.VSK)</t>
  </si>
  <si>
    <t>09.82082</t>
  </si>
  <si>
    <t>Nordplus programmas projekts Nr.NPJR-2023/10066, Rural-Urban-Digital /Lauku-pilsētas digitāls, Jumpravas pamatsk.</t>
  </si>
  <si>
    <t>09.82083</t>
  </si>
  <si>
    <t>Nordplus programmas projekts Nr.NPJR-2023/10171, Throughr Fairytale to Forest /Caur pasaku uz mežu, Jumpravas pamatsk.</t>
  </si>
  <si>
    <t>09.82084</t>
  </si>
  <si>
    <t>Nordplus programmas projekts Nr.NPJR-2023/10094, Green Time-halty Life-Happy I /Laiks dabā-veselīga dzīve-priecīgs es, Jumpravas pamatsk.</t>
  </si>
  <si>
    <t>09.82085</t>
  </si>
  <si>
    <t>Erasmus + programmas projekts Nr.2023-1-LV01-KA121-SCH-000123334 Ģimnāzijas</t>
  </si>
  <si>
    <t>09.82086</t>
  </si>
  <si>
    <t>Erasmus + programmas projekts Nr.2023-1-LV01-KA121-SCH-000146268 Ogres centra pamakskola , Iekļaušana un iekļaušanās.</t>
  </si>
  <si>
    <t>09.82087</t>
  </si>
  <si>
    <t>Erasmus + programmas projekts Nr. 2023-1-LV01-KA121-SCH-000123099, Mācību mobilitātes skolu sektorā Madliena</t>
  </si>
  <si>
    <t>09.82088</t>
  </si>
  <si>
    <t>Ogres novada skolu pašpārvalžu stiprināšana, VP2023/3-15</t>
  </si>
  <si>
    <t>10.70020</t>
  </si>
  <si>
    <t>Interreg Igaunijas - Latvijas projekts Building Social Trust and inclusion:A Cross-Border Approach to empower individuals with Special Needs Nr.EE-LV00086 ( lai sniegtu iespējas personām ar īpašām vajadzībām)</t>
  </si>
  <si>
    <t>Pašvald. aģentūras "Ogres komunikācijas" 2024.g. budžets</t>
  </si>
  <si>
    <t xml:space="preserve">Ogres novada Kultūras centrs 2024.g. budžets   </t>
  </si>
  <si>
    <t>Pašvald. aģentūras "Rosme" 2024.g. budžets</t>
  </si>
  <si>
    <t>Budžeta  atl.uz  01. 01. 2024.g.        F22010010</t>
  </si>
  <si>
    <t xml:space="preserve">Ogres novada pašvaldības 2024.g. budžets </t>
  </si>
  <si>
    <t>Vispārējā tipa pansionāts "Madliena" budžets</t>
  </si>
  <si>
    <t>Ogres novada konsolidētais pašvaldības 2024.g. budžets</t>
  </si>
  <si>
    <t>Pašvald. aģentūra “Tūrisma, sporta un atpūtas kompleksa “ZILIE KALNI” attīstības aģentūra" 2024.g.budžets</t>
  </si>
  <si>
    <t xml:space="preserve">Civilās aizsardzības pasākumi </t>
  </si>
  <si>
    <t>09.5111</t>
  </si>
  <si>
    <t>Ikšķiles pilsētas un Tīnūžu pagasta pārvaldē</t>
  </si>
  <si>
    <t>Ģimenes ārstu prakse Lielvārdē</t>
  </si>
  <si>
    <t>08.240</t>
  </si>
  <si>
    <t>Teātri, izrādes un koncertdarbība</t>
  </si>
  <si>
    <t>Ogres teātris</t>
  </si>
  <si>
    <t>08.2401</t>
  </si>
  <si>
    <t>09.82089</t>
  </si>
  <si>
    <t>09.82090</t>
  </si>
  <si>
    <t>Nordplus projekts "If you have a language, you own the WORLD,Nr.NPJR-2023-Autumn/10062 (Jumpravas pamatsk.)</t>
  </si>
  <si>
    <t>Erasmus projekts Ilgtspējīga vides izglītība, integrējot filozofijas bērniem pieeju STEAM mācību priekšmetos, Nr.2023-1-PL01-KA220-SCH-000157049 (OCP)</t>
  </si>
  <si>
    <t>06.60043</t>
  </si>
  <si>
    <t>06.60044</t>
  </si>
  <si>
    <t>Projekts "Siltumnīcefekta gāzu emisiju samazināšana Ogres novada pašvaldības Ķeguma un Lielvārdes teritorijas apgaismojuma infrastruktūrā" EKII - 7/34.</t>
  </si>
  <si>
    <t>Projekts "Siltumnīcefekta gāzu emisiju samazināšana Ogres novada pašvaldības Ikšķiles teritorijas apgaismojuma infrastruktūrā" EKII - 7/35.</t>
  </si>
  <si>
    <t>ERAF "Atbalsta pasākumi cilvēkiem ar invaliditāti mājokļu vides pieejamības nodrošināšanai Ogres novadā"</t>
  </si>
  <si>
    <t>Mazozolu kultūras nams</t>
  </si>
  <si>
    <t>10.70021</t>
  </si>
  <si>
    <t>09.82091</t>
  </si>
  <si>
    <t>Projektu konkurss ''Papildus aktivitātes Ogres novada pašvaldības iestādēs''.</t>
  </si>
  <si>
    <t>08.2319</t>
  </si>
  <si>
    <t>Ogres novada kultūras un tūrisma pārvalde</t>
  </si>
  <si>
    <t>06.60046</t>
  </si>
  <si>
    <t>06.60047</t>
  </si>
  <si>
    <t>06.60048</t>
  </si>
  <si>
    <t xml:space="preserve">Rotaļu laukums Brīvības ielā 15, Ogrē. </t>
  </si>
  <si>
    <t>Maldienas velotrase (pump-track)</t>
  </si>
  <si>
    <t>Rotaļu laukumu izveidošanai lauku teritorijās</t>
  </si>
  <si>
    <t xml:space="preserve">Ogres ģimnāzija </t>
  </si>
  <si>
    <t>Ogres novada pašvaldības 2024.gada pamatbudžeta ieņēmumi</t>
  </si>
  <si>
    <t>Ogres novada pašvaldības 2024. gada pamatbudžeta  izdevumi atbilstoši funkcionālajām kategorijām</t>
  </si>
  <si>
    <t>Ogres novada pašvaldības 2024. gada pamatbudžeta  izdevumi atbilstoši ekonomiskajām kategorijām</t>
  </si>
  <si>
    <t>14.02.2024. Saistošajiem noteikumiem Nr.3/2024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</si>
</sst>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_-* #,##0\ _€_-;\-* #,##0\ _€_-;_-* &quot;-&quot;\ _€_-;_-@_-"/>
    <numFmt numFmtId="183" formatCode="_-* #,##0.00\ _€_-;\-* #,##0.00\ _€_-;_-* &quot;-&quot;??\ _€_-;_-@_-"/>
    <numFmt numFmtId="184" formatCode="0.0"/>
    <numFmt numFmtId="185" formatCode="#,##0.0"/>
    <numFmt numFmtId="186" formatCode="#,##0.000"/>
    <numFmt numFmtId="187" formatCode="0.000"/>
    <numFmt numFmtId="188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sz val="10"/>
      <color indexed="3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sz val="10"/>
      <color rgb="FF0070C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wrapText="1"/>
    </xf>
    <xf numFmtId="0" fontId="2" fillId="0" borderId="0" xfId="56" applyFont="1" applyFill="1" applyAlignment="1">
      <alignment horizontal="left"/>
      <protection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>
      <alignment vertical="center" wrapText="1"/>
      <protection/>
    </xf>
    <xf numFmtId="0" fontId="4" fillId="0" borderId="14" xfId="5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wrapText="1"/>
    </xf>
    <xf numFmtId="0" fontId="2" fillId="0" borderId="0" xfId="50" applyFont="1" applyAlignment="1">
      <alignment wrapText="1"/>
      <protection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84" fontId="2" fillId="0" borderId="0" xfId="0" applyNumberFormat="1" applyFont="1" applyFill="1" applyAlignment="1">
      <alignment/>
    </xf>
    <xf numFmtId="3" fontId="2" fillId="0" borderId="15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 wrapText="1"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3" fontId="2" fillId="0" borderId="21" xfId="0" applyNumberFormat="1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wrapText="1"/>
    </xf>
    <xf numFmtId="3" fontId="2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 horizontal="right"/>
    </xf>
    <xf numFmtId="3" fontId="2" fillId="33" borderId="22" xfId="0" applyNumberFormat="1" applyFont="1" applyFill="1" applyBorder="1" applyAlignment="1">
      <alignment/>
    </xf>
    <xf numFmtId="1" fontId="2" fillId="0" borderId="22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wrapText="1"/>
    </xf>
    <xf numFmtId="3" fontId="2" fillId="33" borderId="27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 horizontal="left"/>
    </xf>
    <xf numFmtId="3" fontId="2" fillId="0" borderId="26" xfId="0" applyNumberFormat="1" applyFont="1" applyFill="1" applyBorder="1" applyAlignment="1">
      <alignment wrapText="1"/>
    </xf>
    <xf numFmtId="3" fontId="2" fillId="33" borderId="26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4" fillId="0" borderId="33" xfId="0" applyFont="1" applyBorder="1" applyAlignment="1">
      <alignment wrapText="1"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 horizontal="left"/>
    </xf>
    <xf numFmtId="3" fontId="4" fillId="0" borderId="38" xfId="0" applyNumberFormat="1" applyFont="1" applyFill="1" applyBorder="1" applyAlignment="1">
      <alignment wrapText="1"/>
    </xf>
    <xf numFmtId="3" fontId="2" fillId="0" borderId="39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/>
    </xf>
    <xf numFmtId="3" fontId="2" fillId="0" borderId="41" xfId="0" applyNumberFormat="1" applyFont="1" applyFill="1" applyBorder="1" applyAlignment="1">
      <alignment horizontal="left"/>
    </xf>
    <xf numFmtId="3" fontId="2" fillId="0" borderId="33" xfId="0" applyNumberFormat="1" applyFont="1" applyFill="1" applyBorder="1" applyAlignment="1">
      <alignment wrapText="1"/>
    </xf>
    <xf numFmtId="3" fontId="2" fillId="0" borderId="42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left"/>
    </xf>
    <xf numFmtId="3" fontId="9" fillId="0" borderId="33" xfId="0" applyNumberFormat="1" applyFont="1" applyBorder="1" applyAlignment="1">
      <alignment wrapText="1"/>
    </xf>
    <xf numFmtId="3" fontId="4" fillId="0" borderId="16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left"/>
    </xf>
    <xf numFmtId="3" fontId="4" fillId="0" borderId="17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 applyProtection="1">
      <alignment/>
      <protection/>
    </xf>
    <xf numFmtId="3" fontId="2" fillId="0" borderId="16" xfId="0" applyNumberFormat="1" applyFont="1" applyFill="1" applyBorder="1" applyAlignment="1" applyProtection="1">
      <alignment horizontal="left" wrapText="1"/>
      <protection/>
    </xf>
    <xf numFmtId="3" fontId="2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 horizontal="left" wrapText="1"/>
      <protection/>
    </xf>
    <xf numFmtId="3" fontId="4" fillId="0" borderId="17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/>
      <protection/>
    </xf>
    <xf numFmtId="3" fontId="2" fillId="0" borderId="17" xfId="0" applyNumberFormat="1" applyFont="1" applyFill="1" applyBorder="1" applyAlignment="1" applyProtection="1">
      <alignment/>
      <protection/>
    </xf>
    <xf numFmtId="3" fontId="2" fillId="0" borderId="17" xfId="0" applyNumberFormat="1" applyFont="1" applyFill="1" applyBorder="1" applyAlignment="1" applyProtection="1">
      <alignment horizontal="left" wrapText="1"/>
      <protection/>
    </xf>
    <xf numFmtId="3" fontId="2" fillId="0" borderId="0" xfId="0" applyNumberFormat="1" applyFont="1" applyAlignment="1">
      <alignment/>
    </xf>
    <xf numFmtId="3" fontId="2" fillId="0" borderId="17" xfId="0" applyNumberFormat="1" applyFont="1" applyFill="1" applyBorder="1" applyAlignment="1" applyProtection="1">
      <alignment horizontal="center"/>
      <protection/>
    </xf>
    <xf numFmtId="3" fontId="4" fillId="0" borderId="17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left" wrapText="1"/>
      <protection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56" applyNumberFormat="1" applyFont="1" applyFill="1" applyAlignment="1">
      <alignment horizontal="left"/>
      <protection/>
    </xf>
    <xf numFmtId="3" fontId="2" fillId="0" borderId="0" xfId="0" applyNumberFormat="1" applyFont="1" applyFill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wrapText="1"/>
    </xf>
    <xf numFmtId="3" fontId="4" fillId="0" borderId="35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right"/>
    </xf>
    <xf numFmtId="3" fontId="4" fillId="0" borderId="44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left" wrapText="1"/>
    </xf>
    <xf numFmtId="3" fontId="2" fillId="0" borderId="21" xfId="0" applyNumberFormat="1" applyFont="1" applyFill="1" applyBorder="1" applyAlignment="1">
      <alignment horizontal="right" wrapText="1"/>
    </xf>
    <xf numFmtId="3" fontId="4" fillId="0" borderId="25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wrapText="1"/>
    </xf>
    <xf numFmtId="3" fontId="4" fillId="33" borderId="29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185" fontId="2" fillId="0" borderId="0" xfId="0" applyNumberFormat="1" applyFont="1" applyFill="1" applyAlignment="1">
      <alignment/>
    </xf>
    <xf numFmtId="3" fontId="2" fillId="33" borderId="35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 wrapText="1"/>
    </xf>
    <xf numFmtId="3" fontId="2" fillId="0" borderId="26" xfId="51" applyNumberFormat="1" applyFont="1" applyFill="1" applyBorder="1" applyAlignment="1">
      <alignment horizontal="left" wrapText="1"/>
      <protection/>
    </xf>
    <xf numFmtId="3" fontId="2" fillId="33" borderId="18" xfId="0" applyNumberFormat="1" applyFont="1" applyFill="1" applyBorder="1" applyAlignment="1">
      <alignment/>
    </xf>
    <xf numFmtId="3" fontId="4" fillId="0" borderId="37" xfId="58" applyNumberFormat="1" applyFont="1" applyBorder="1" applyAlignment="1">
      <alignment horizontal="right"/>
      <protection/>
    </xf>
    <xf numFmtId="3" fontId="4" fillId="0" borderId="39" xfId="58" applyNumberFormat="1" applyFont="1" applyBorder="1" applyAlignment="1">
      <alignment wrapText="1"/>
      <protection/>
    </xf>
    <xf numFmtId="3" fontId="4" fillId="0" borderId="4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left" wrapText="1"/>
    </xf>
    <xf numFmtId="3" fontId="2" fillId="0" borderId="17" xfId="0" applyNumberFormat="1" applyFont="1" applyFill="1" applyBorder="1" applyAlignment="1">
      <alignment horizontal="left"/>
    </xf>
    <xf numFmtId="49" fontId="2" fillId="0" borderId="15" xfId="58" applyNumberFormat="1" applyFont="1" applyBorder="1" applyAlignment="1">
      <alignment horizontal="right"/>
      <protection/>
    </xf>
    <xf numFmtId="0" fontId="2" fillId="0" borderId="29" xfId="51" applyFont="1" applyBorder="1" applyAlignment="1">
      <alignment horizontal="left" wrapText="1"/>
      <protection/>
    </xf>
    <xf numFmtId="49" fontId="2" fillId="0" borderId="21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 horizontal="left" wrapText="1"/>
    </xf>
    <xf numFmtId="3" fontId="54" fillId="0" borderId="18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49" fontId="2" fillId="0" borderId="21" xfId="58" applyNumberFormat="1" applyFont="1" applyBorder="1" applyAlignment="1">
      <alignment horizontal="right"/>
      <protection/>
    </xf>
    <xf numFmtId="0" fontId="2" fillId="0" borderId="16" xfId="51" applyFont="1" applyBorder="1" applyAlignment="1">
      <alignment horizontal="left" wrapText="1"/>
      <protection/>
    </xf>
    <xf numFmtId="3" fontId="4" fillId="0" borderId="16" xfId="0" applyNumberFormat="1" applyFont="1" applyFill="1" applyBorder="1" applyAlignment="1">
      <alignment horizontal="left" wrapText="1"/>
    </xf>
    <xf numFmtId="3" fontId="4" fillId="0" borderId="21" xfId="58" applyNumberFormat="1" applyFont="1" applyBorder="1" applyAlignment="1">
      <alignment horizontal="right"/>
      <protection/>
    </xf>
    <xf numFmtId="49" fontId="2" fillId="0" borderId="21" xfId="58" applyNumberFormat="1" applyFont="1" applyFill="1" applyBorder="1" applyAlignment="1">
      <alignment horizontal="right"/>
      <protection/>
    </xf>
    <xf numFmtId="3" fontId="2" fillId="0" borderId="39" xfId="58" applyNumberFormat="1" applyFont="1" applyBorder="1" applyAlignment="1">
      <alignment wrapText="1"/>
      <protection/>
    </xf>
    <xf numFmtId="3" fontId="2" fillId="0" borderId="17" xfId="58" applyNumberFormat="1" applyFont="1" applyBorder="1" applyAlignment="1">
      <alignment wrapText="1"/>
      <protection/>
    </xf>
    <xf numFmtId="3" fontId="4" fillId="0" borderId="11" xfId="0" applyNumberFormat="1" applyFont="1" applyFill="1" applyBorder="1" applyAlignment="1">
      <alignment horizontal="left" wrapText="1"/>
    </xf>
    <xf numFmtId="3" fontId="4" fillId="0" borderId="18" xfId="0" applyNumberFormat="1" applyFont="1" applyFill="1" applyBorder="1" applyAlignment="1">
      <alignment horizontal="right"/>
    </xf>
    <xf numFmtId="3" fontId="2" fillId="33" borderId="18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3" fontId="4" fillId="0" borderId="35" xfId="0" applyNumberFormat="1" applyFont="1" applyFill="1" applyBorder="1" applyAlignment="1">
      <alignment horizontal="right"/>
    </xf>
    <xf numFmtId="3" fontId="2" fillId="0" borderId="16" xfId="51" applyNumberFormat="1" applyFont="1" applyFill="1" applyBorder="1" applyAlignment="1">
      <alignment horizontal="left" wrapText="1"/>
      <protection/>
    </xf>
    <xf numFmtId="1" fontId="4" fillId="0" borderId="0" xfId="0" applyNumberFormat="1" applyFont="1" applyFill="1" applyAlignment="1">
      <alignment/>
    </xf>
    <xf numFmtId="3" fontId="4" fillId="0" borderId="32" xfId="0" applyNumberFormat="1" applyFont="1" applyFill="1" applyBorder="1" applyAlignment="1">
      <alignment horizontal="right"/>
    </xf>
    <xf numFmtId="3" fontId="55" fillId="0" borderId="35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right"/>
    </xf>
    <xf numFmtId="3" fontId="54" fillId="0" borderId="18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left" wrapText="1"/>
    </xf>
    <xf numFmtId="3" fontId="2" fillId="0" borderId="17" xfId="0" applyNumberFormat="1" applyFont="1" applyFill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/>
    </xf>
    <xf numFmtId="3" fontId="2" fillId="33" borderId="17" xfId="58" applyNumberFormat="1" applyFont="1" applyFill="1" applyBorder="1" applyAlignment="1">
      <alignment horizontal="left" wrapText="1"/>
      <protection/>
    </xf>
    <xf numFmtId="0" fontId="11" fillId="0" borderId="17" xfId="58" applyFont="1" applyBorder="1" applyAlignment="1">
      <alignment horizontal="left" wrapText="1"/>
      <protection/>
    </xf>
    <xf numFmtId="49" fontId="2" fillId="0" borderId="0" xfId="58" applyNumberFormat="1" applyFont="1" applyFill="1" applyBorder="1" applyAlignment="1">
      <alignment horizontal="right"/>
      <protection/>
    </xf>
    <xf numFmtId="0" fontId="2" fillId="0" borderId="17" xfId="0" applyFont="1" applyFill="1" applyBorder="1" applyAlignment="1">
      <alignment wrapText="1"/>
    </xf>
    <xf numFmtId="0" fontId="11" fillId="0" borderId="17" xfId="58" applyFont="1" applyFill="1" applyBorder="1" applyAlignment="1">
      <alignment horizontal="left" wrapText="1"/>
      <protection/>
    </xf>
    <xf numFmtId="0" fontId="2" fillId="0" borderId="17" xfId="58" applyFont="1" applyBorder="1" applyAlignment="1">
      <alignment wrapText="1"/>
      <protection/>
    </xf>
    <xf numFmtId="49" fontId="2" fillId="0" borderId="21" xfId="0" applyNumberFormat="1" applyFont="1" applyFill="1" applyBorder="1" applyAlignment="1">
      <alignment horizontal="left"/>
    </xf>
    <xf numFmtId="3" fontId="8" fillId="0" borderId="17" xfId="0" applyNumberFormat="1" applyFont="1" applyFill="1" applyBorder="1" applyAlignment="1">
      <alignment/>
    </xf>
    <xf numFmtId="3" fontId="2" fillId="0" borderId="26" xfId="0" applyNumberFormat="1" applyFont="1" applyBorder="1" applyAlignment="1">
      <alignment horizontal="left" wrapText="1"/>
    </xf>
    <xf numFmtId="3" fontId="2" fillId="0" borderId="24" xfId="0" applyNumberFormat="1" applyFont="1" applyFill="1" applyBorder="1" applyAlignment="1">
      <alignment wrapText="1"/>
    </xf>
    <xf numFmtId="3" fontId="2" fillId="0" borderId="28" xfId="0" applyNumberFormat="1" applyFont="1" applyFill="1" applyBorder="1" applyAlignment="1">
      <alignment wrapText="1"/>
    </xf>
    <xf numFmtId="3" fontId="4" fillId="0" borderId="26" xfId="0" applyNumberFormat="1" applyFont="1" applyBorder="1" applyAlignment="1">
      <alignment horizontal="left" wrapText="1"/>
    </xf>
    <xf numFmtId="49" fontId="4" fillId="0" borderId="21" xfId="58" applyNumberFormat="1" applyFont="1" applyBorder="1" applyAlignment="1">
      <alignment horizontal="right"/>
      <protection/>
    </xf>
    <xf numFmtId="3" fontId="4" fillId="33" borderId="18" xfId="0" applyNumberFormat="1" applyFont="1" applyFill="1" applyBorder="1" applyAlignment="1">
      <alignment/>
    </xf>
    <xf numFmtId="49" fontId="4" fillId="0" borderId="25" xfId="58" applyNumberFormat="1" applyFont="1" applyBorder="1" applyAlignment="1">
      <alignment horizontal="right"/>
      <protection/>
    </xf>
    <xf numFmtId="3" fontId="4" fillId="0" borderId="18" xfId="0" applyNumberFormat="1" applyFont="1" applyBorder="1" applyAlignment="1">
      <alignment wrapText="1"/>
    </xf>
    <xf numFmtId="3" fontId="4" fillId="0" borderId="39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left"/>
    </xf>
    <xf numFmtId="3" fontId="4" fillId="0" borderId="47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wrapText="1"/>
    </xf>
    <xf numFmtId="3" fontId="4" fillId="0" borderId="49" xfId="0" applyNumberFormat="1" applyFont="1" applyFill="1" applyBorder="1" applyAlignment="1">
      <alignment/>
    </xf>
    <xf numFmtId="3" fontId="2" fillId="0" borderId="15" xfId="58" applyNumberFormat="1" applyFont="1" applyBorder="1" applyAlignment="1">
      <alignment horizontal="right"/>
      <protection/>
    </xf>
    <xf numFmtId="3" fontId="2" fillId="0" borderId="17" xfId="51" applyNumberFormat="1" applyFont="1" applyBorder="1" applyAlignment="1">
      <alignment horizontal="left" wrapText="1"/>
      <protection/>
    </xf>
    <xf numFmtId="3" fontId="6" fillId="0" borderId="17" xfId="51" applyNumberFormat="1" applyFont="1" applyBorder="1" applyAlignment="1">
      <alignment horizontal="left" wrapText="1"/>
      <protection/>
    </xf>
    <xf numFmtId="3" fontId="2" fillId="0" borderId="17" xfId="51" applyNumberFormat="1" applyFont="1" applyFill="1" applyBorder="1" applyAlignment="1">
      <alignment horizontal="left" wrapText="1"/>
      <protection/>
    </xf>
    <xf numFmtId="3" fontId="2" fillId="0" borderId="18" xfId="51" applyNumberFormat="1" applyFont="1" applyFill="1" applyBorder="1" applyAlignment="1">
      <alignment horizontal="left" wrapText="1"/>
      <protection/>
    </xf>
    <xf numFmtId="3" fontId="2" fillId="0" borderId="17" xfId="0" applyNumberFormat="1" applyFont="1" applyFill="1" applyBorder="1" applyAlignment="1">
      <alignment horizontal="left" wrapText="1"/>
    </xf>
    <xf numFmtId="3" fontId="2" fillId="0" borderId="17" xfId="52" applyNumberFormat="1" applyFont="1" applyFill="1" applyBorder="1" applyAlignment="1">
      <alignment horizontal="left" wrapText="1"/>
      <protection/>
    </xf>
    <xf numFmtId="3" fontId="2" fillId="0" borderId="21" xfId="58" applyNumberFormat="1" applyFont="1" applyBorder="1" applyAlignment="1">
      <alignment horizontal="right"/>
      <protection/>
    </xf>
    <xf numFmtId="0" fontId="2" fillId="0" borderId="17" xfId="51" applyFont="1" applyFill="1" applyBorder="1" applyAlignment="1">
      <alignment horizontal="left" wrapText="1"/>
      <protection/>
    </xf>
    <xf numFmtId="3" fontId="2" fillId="0" borderId="17" xfId="0" applyNumberFormat="1" applyFont="1" applyBorder="1" applyAlignment="1">
      <alignment horizontal="left" wrapText="1"/>
    </xf>
    <xf numFmtId="49" fontId="4" fillId="0" borderId="21" xfId="58" applyNumberFormat="1" applyFont="1" applyFill="1" applyBorder="1" applyAlignment="1">
      <alignment horizontal="right"/>
      <protection/>
    </xf>
    <xf numFmtId="0" fontId="4" fillId="0" borderId="16" xfId="51" applyFont="1" applyBorder="1" applyAlignment="1">
      <alignment horizontal="left" wrapText="1"/>
      <protection/>
    </xf>
    <xf numFmtId="49" fontId="2" fillId="0" borderId="15" xfId="58" applyNumberFormat="1" applyFont="1" applyFill="1" applyBorder="1" applyAlignment="1">
      <alignment horizontal="right"/>
      <protection/>
    </xf>
    <xf numFmtId="3" fontId="2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2" fillId="0" borderId="0" xfId="50" applyNumberFormat="1" applyFont="1" applyFill="1" applyBorder="1" applyAlignment="1">
      <alignment horizontal="left" wrapText="1"/>
      <protection/>
    </xf>
    <xf numFmtId="3" fontId="10" fillId="0" borderId="0" xfId="0" applyNumberFormat="1" applyFont="1" applyFill="1" applyBorder="1" applyAlignment="1">
      <alignment horizontal="right" wrapText="1"/>
    </xf>
    <xf numFmtId="3" fontId="12" fillId="0" borderId="0" xfId="0" applyNumberFormat="1" applyFont="1" applyFill="1" applyAlignment="1">
      <alignment/>
    </xf>
    <xf numFmtId="3" fontId="56" fillId="0" borderId="0" xfId="50" applyNumberFormat="1" applyFont="1" applyFill="1" applyBorder="1" applyAlignment="1">
      <alignment horizontal="right" wrapText="1"/>
      <protection/>
    </xf>
    <xf numFmtId="3" fontId="4" fillId="0" borderId="41" xfId="0" applyNumberFormat="1" applyFont="1" applyFill="1" applyBorder="1" applyAlignment="1">
      <alignment horizontal="left"/>
    </xf>
    <xf numFmtId="41" fontId="2" fillId="0" borderId="34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/>
    </xf>
    <xf numFmtId="3" fontId="2" fillId="0" borderId="50" xfId="0" applyNumberFormat="1" applyFont="1" applyFill="1" applyBorder="1" applyAlignment="1">
      <alignment/>
    </xf>
    <xf numFmtId="3" fontId="4" fillId="0" borderId="51" xfId="0" applyNumberFormat="1" applyFont="1" applyFill="1" applyBorder="1" applyAlignment="1">
      <alignment/>
    </xf>
    <xf numFmtId="41" fontId="2" fillId="0" borderId="18" xfId="0" applyNumberFormat="1" applyFont="1" applyFill="1" applyBorder="1" applyAlignment="1">
      <alignment/>
    </xf>
    <xf numFmtId="3" fontId="2" fillId="0" borderId="52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 wrapText="1"/>
    </xf>
    <xf numFmtId="3" fontId="2" fillId="0" borderId="53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3" fontId="2" fillId="0" borderId="18" xfId="0" applyNumberFormat="1" applyFont="1" applyFill="1" applyBorder="1" applyAlignment="1">
      <alignment wrapText="1"/>
    </xf>
    <xf numFmtId="185" fontId="4" fillId="0" borderId="0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right" wrapText="1"/>
    </xf>
    <xf numFmtId="49" fontId="2" fillId="0" borderId="17" xfId="0" applyNumberFormat="1" applyFont="1" applyFill="1" applyBorder="1" applyAlignment="1">
      <alignment horizontal="right"/>
    </xf>
    <xf numFmtId="49" fontId="2" fillId="0" borderId="18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 applyProtection="1">
      <alignment horizontal="center" wrapText="1"/>
      <protection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 applyProtection="1">
      <alignment horizontal="right"/>
      <protection/>
    </xf>
    <xf numFmtId="4" fontId="2" fillId="0" borderId="16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3" fontId="2" fillId="33" borderId="17" xfId="0" applyNumberFormat="1" applyFont="1" applyFill="1" applyBorder="1" applyAlignment="1">
      <alignment horizontal="right"/>
    </xf>
    <xf numFmtId="3" fontId="2" fillId="33" borderId="16" xfId="0" applyNumberFormat="1" applyFont="1" applyFill="1" applyBorder="1" applyAlignment="1">
      <alignment horizontal="right" wrapText="1"/>
    </xf>
    <xf numFmtId="4" fontId="2" fillId="0" borderId="18" xfId="0" applyNumberFormat="1" applyFont="1" applyFill="1" applyBorder="1" applyAlignment="1">
      <alignment/>
    </xf>
    <xf numFmtId="3" fontId="2" fillId="33" borderId="35" xfId="0" applyNumberFormat="1" applyFont="1" applyFill="1" applyBorder="1" applyAlignment="1">
      <alignment horizontal="right"/>
    </xf>
    <xf numFmtId="49" fontId="2" fillId="0" borderId="17" xfId="58" applyNumberFormat="1" applyFont="1" applyFill="1" applyBorder="1" applyAlignment="1">
      <alignment horizontal="right"/>
      <protection/>
    </xf>
    <xf numFmtId="49" fontId="2" fillId="0" borderId="25" xfId="0" applyNumberFormat="1" applyFont="1" applyFill="1" applyBorder="1" applyAlignment="1">
      <alignment horizontal="right"/>
    </xf>
    <xf numFmtId="0" fontId="2" fillId="0" borderId="17" xfId="53" applyFont="1" applyFill="1" applyBorder="1" applyAlignment="1">
      <alignment horizontal="left" wrapText="1"/>
      <protection/>
    </xf>
    <xf numFmtId="49" fontId="2" fillId="0" borderId="26" xfId="58" applyNumberFormat="1" applyFont="1" applyFill="1" applyBorder="1" applyAlignment="1">
      <alignment horizontal="right"/>
      <protection/>
    </xf>
    <xf numFmtId="0" fontId="2" fillId="0" borderId="26" xfId="53" applyFont="1" applyFill="1" applyBorder="1" applyAlignment="1">
      <alignment horizontal="left" wrapText="1"/>
      <protection/>
    </xf>
    <xf numFmtId="0" fontId="2" fillId="0" borderId="17" xfId="0" applyFont="1" applyFill="1" applyBorder="1" applyAlignment="1">
      <alignment horizontal="left" wrapText="1"/>
    </xf>
    <xf numFmtId="3" fontId="2" fillId="0" borderId="17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 horizontal="right"/>
    </xf>
    <xf numFmtId="3" fontId="2" fillId="33" borderId="17" xfId="0" applyNumberFormat="1" applyFont="1" applyFill="1" applyBorder="1" applyAlignment="1">
      <alignment wrapText="1"/>
    </xf>
    <xf numFmtId="3" fontId="6" fillId="0" borderId="17" xfId="0" applyNumberFormat="1" applyFont="1" applyBorder="1" applyAlignment="1">
      <alignment horizontal="right" wrapText="1"/>
    </xf>
    <xf numFmtId="3" fontId="2" fillId="0" borderId="22" xfId="0" applyNumberFormat="1" applyFont="1" applyBorder="1" applyAlignment="1">
      <alignment/>
    </xf>
    <xf numFmtId="49" fontId="2" fillId="0" borderId="21" xfId="58" applyNumberFormat="1" applyFont="1" applyFill="1" applyBorder="1" applyAlignment="1">
      <alignment horizontal="center" vertical="center"/>
      <protection/>
    </xf>
    <xf numFmtId="3" fontId="57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49" fontId="4" fillId="0" borderId="21" xfId="0" applyNumberFormat="1" applyFont="1" applyBorder="1" applyAlignment="1">
      <alignment horizontal="right"/>
    </xf>
    <xf numFmtId="0" fontId="2" fillId="0" borderId="16" xfId="0" applyFont="1" applyFill="1" applyBorder="1" applyAlignment="1">
      <alignment horizontal="left" wrapText="1"/>
    </xf>
    <xf numFmtId="3" fontId="58" fillId="0" borderId="17" xfId="0" applyNumberFormat="1" applyFont="1" applyFill="1" applyBorder="1" applyAlignment="1">
      <alignment/>
    </xf>
    <xf numFmtId="3" fontId="59" fillId="0" borderId="0" xfId="0" applyNumberFormat="1" applyFont="1" applyFill="1" applyAlignment="1">
      <alignment/>
    </xf>
    <xf numFmtId="3" fontId="57" fillId="33" borderId="17" xfId="0" applyNumberFormat="1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 horizontal="center"/>
      <protection/>
    </xf>
    <xf numFmtId="3" fontId="6" fillId="33" borderId="17" xfId="0" applyNumberFormat="1" applyFont="1" applyFill="1" applyBorder="1" applyAlignment="1">
      <alignment/>
    </xf>
    <xf numFmtId="184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2" fillId="0" borderId="32" xfId="55" applyFont="1" applyFill="1" applyBorder="1" applyAlignment="1">
      <alignment vertical="center" wrapText="1"/>
      <protection/>
    </xf>
    <xf numFmtId="3" fontId="4" fillId="0" borderId="20" xfId="0" applyNumberFormat="1" applyFont="1" applyFill="1" applyBorder="1" applyAlignment="1">
      <alignment horizontal="right"/>
    </xf>
    <xf numFmtId="3" fontId="5" fillId="0" borderId="54" xfId="0" applyNumberFormat="1" applyFont="1" applyFill="1" applyBorder="1" applyAlignment="1">
      <alignment horizontal="center" wrapText="1"/>
    </xf>
  </cellXfs>
  <cellStyles count="60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2009.g plāns apst 3" xfId="50"/>
    <cellStyle name="Normal_PROJEKTI_2016_PLĀNS_Aija un Inese" xfId="51"/>
    <cellStyle name="Normal_PROJEKTI_2016_PLĀNS_Aija un Inese 2" xfId="52"/>
    <cellStyle name="Normal_PROJEKTI_2016_PLĀNS_Aija un Inese 3" xfId="53"/>
    <cellStyle name="Normal_Sheet1" xfId="54"/>
    <cellStyle name="Normal_Sheet1_Pielikumi oktobra korekcijam 2" xfId="55"/>
    <cellStyle name="Normal_Specbudz.kopsavilkums 2006.g un korekc. 2" xfId="56"/>
    <cellStyle name="Nosaukums" xfId="57"/>
    <cellStyle name="Parasts 2" xfId="58"/>
    <cellStyle name="Parasts 2 2" xfId="59"/>
    <cellStyle name="Parasts 2_2016.g. Ieņēmumu un izdevumu plāns" xfId="60"/>
    <cellStyle name="Parasts 3" xfId="61"/>
    <cellStyle name="Paskaidrojošs teksts" xfId="62"/>
    <cellStyle name="Pārbaudes šūna" xfId="63"/>
    <cellStyle name="Piezīme" xfId="64"/>
    <cellStyle name="Percent" xfId="65"/>
    <cellStyle name="Saistīta šūna" xfId="66"/>
    <cellStyle name="Slikts" xfId="67"/>
    <cellStyle name="Currency" xfId="68"/>
    <cellStyle name="Currency [0]" xfId="69"/>
    <cellStyle name="Virsraksts 1" xfId="70"/>
    <cellStyle name="Virsraksts 2" xfId="71"/>
    <cellStyle name="Virsraksts 3" xfId="72"/>
    <cellStyle name="Virsraksts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98" zoomScaleNormal="98" zoomScalePageLayoutView="0" workbookViewId="0" topLeftCell="A1">
      <pane xSplit="2" ySplit="7" topLeftCell="C8" activePane="bottomRight" state="frozen"/>
      <selection pane="topLeft" activeCell="A6" sqref="A6"/>
      <selection pane="topRight" activeCell="D6" sqref="D6"/>
      <selection pane="bottomLeft" activeCell="A8" sqref="A8"/>
      <selection pane="bottomRight" activeCell="L5" sqref="L5"/>
    </sheetView>
  </sheetViews>
  <sheetFormatPr defaultColWidth="9.140625" defaultRowHeight="15"/>
  <cols>
    <col min="1" max="1" width="9.421875" style="1" customWidth="1"/>
    <col min="2" max="2" width="41.8515625" style="2" customWidth="1"/>
    <col min="3" max="3" width="13.421875" style="1" customWidth="1"/>
    <col min="4" max="4" width="14.421875" style="1" customWidth="1"/>
    <col min="5" max="7" width="10.8515625" style="1" customWidth="1"/>
    <col min="8" max="8" width="16.7109375" style="1" customWidth="1"/>
    <col min="9" max="9" width="15.28125" style="5" customWidth="1"/>
    <col min="10" max="10" width="9.140625" style="5" customWidth="1"/>
    <col min="11" max="11" width="13.7109375" style="5" customWidth="1"/>
    <col min="12" max="12" width="9.57421875" style="1" customWidth="1"/>
    <col min="13" max="13" width="12.57421875" style="1" customWidth="1"/>
    <col min="14" max="14" width="10.7109375" style="1" bestFit="1" customWidth="1"/>
    <col min="15" max="16384" width="9.140625" style="1" customWidth="1"/>
  </cols>
  <sheetData>
    <row r="1" spans="4:9" ht="15">
      <c r="D1" s="3" t="s">
        <v>0</v>
      </c>
      <c r="E1" s="3"/>
      <c r="F1" s="3"/>
      <c r="I1" s="4" t="s">
        <v>1</v>
      </c>
    </row>
    <row r="2" spans="1:9" ht="15">
      <c r="A2" s="6"/>
      <c r="D2" s="6"/>
      <c r="E2" s="6"/>
      <c r="F2" s="6"/>
      <c r="I2" s="4" t="s">
        <v>2</v>
      </c>
    </row>
    <row r="3" spans="1:10" ht="15">
      <c r="A3" s="6"/>
      <c r="D3" s="6"/>
      <c r="E3" s="6"/>
      <c r="F3" s="6"/>
      <c r="I3" s="4" t="s">
        <v>692</v>
      </c>
      <c r="J3" s="106"/>
    </row>
    <row r="5" spans="1:3" ht="20.25">
      <c r="A5" s="7" t="s">
        <v>689</v>
      </c>
      <c r="B5" s="7"/>
      <c r="C5" s="7"/>
    </row>
    <row r="6" spans="1:3" ht="15.75" thickBot="1">
      <c r="A6" s="6"/>
      <c r="B6" s="8"/>
      <c r="C6" s="6"/>
    </row>
    <row r="7" spans="1:13" ht="105.75" thickBot="1">
      <c r="A7" s="10" t="s">
        <v>3</v>
      </c>
      <c r="B7" s="11" t="s">
        <v>4</v>
      </c>
      <c r="C7" s="12" t="s">
        <v>655</v>
      </c>
      <c r="D7" s="13" t="s">
        <v>651</v>
      </c>
      <c r="E7" s="14" t="s">
        <v>652</v>
      </c>
      <c r="F7" s="14" t="s">
        <v>656</v>
      </c>
      <c r="G7" s="14" t="s">
        <v>653</v>
      </c>
      <c r="H7" s="15" t="s">
        <v>658</v>
      </c>
      <c r="I7" s="16" t="s">
        <v>657</v>
      </c>
      <c r="J7" s="17"/>
      <c r="K7" s="17"/>
      <c r="L7" s="18"/>
      <c r="M7" s="18"/>
    </row>
    <row r="8" spans="1:13" ht="15.75" thickBot="1">
      <c r="A8" s="19"/>
      <c r="B8" s="20" t="s">
        <v>5</v>
      </c>
      <c r="C8" s="21">
        <f aca="true" t="shared" si="0" ref="C8:I8">C9+C10+C15+C16</f>
        <v>66703486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53">
        <f t="shared" si="0"/>
        <v>0</v>
      </c>
      <c r="I8" s="54">
        <f t="shared" si="0"/>
        <v>66703486</v>
      </c>
      <c r="J8" s="232"/>
      <c r="K8" s="22"/>
      <c r="L8" s="23"/>
      <c r="M8" s="23"/>
    </row>
    <row r="9" spans="1:13" ht="15.75">
      <c r="A9" s="24" t="s">
        <v>6</v>
      </c>
      <c r="B9" s="25" t="s">
        <v>7</v>
      </c>
      <c r="C9" s="254">
        <v>62013617</v>
      </c>
      <c r="D9" s="26"/>
      <c r="E9" s="26"/>
      <c r="F9" s="27"/>
      <c r="G9" s="26"/>
      <c r="H9" s="28"/>
      <c r="I9" s="29">
        <f aca="true" t="shared" si="1" ref="I9:I32">SUM(C9:H9)</f>
        <v>62013617</v>
      </c>
      <c r="J9" s="232"/>
      <c r="K9" s="22"/>
      <c r="L9" s="30"/>
      <c r="M9" s="23"/>
    </row>
    <row r="10" spans="1:13" ht="15">
      <c r="A10" s="31" t="s">
        <v>8</v>
      </c>
      <c r="B10" s="32" t="s">
        <v>9</v>
      </c>
      <c r="C10" s="26">
        <f>C11</f>
        <v>4419869</v>
      </c>
      <c r="D10" s="26"/>
      <c r="E10" s="26"/>
      <c r="F10" s="27"/>
      <c r="G10" s="26">
        <f>G11</f>
        <v>0</v>
      </c>
      <c r="H10" s="34">
        <f>H11</f>
        <v>0</v>
      </c>
      <c r="I10" s="29">
        <f t="shared" si="1"/>
        <v>4419869</v>
      </c>
      <c r="J10" s="232"/>
      <c r="K10" s="22"/>
      <c r="L10" s="30"/>
      <c r="M10" s="23"/>
    </row>
    <row r="11" spans="1:13" ht="15">
      <c r="A11" s="31" t="s">
        <v>10</v>
      </c>
      <c r="B11" s="32" t="s">
        <v>11</v>
      </c>
      <c r="C11" s="26">
        <f>SUM(C12:C14)</f>
        <v>4419869</v>
      </c>
      <c r="D11" s="26"/>
      <c r="E11" s="26"/>
      <c r="F11" s="27"/>
      <c r="G11" s="26">
        <f>SUM(G12:G14)</f>
        <v>0</v>
      </c>
      <c r="H11" s="34">
        <f>SUM(H12:H14)</f>
        <v>0</v>
      </c>
      <c r="I11" s="29">
        <f t="shared" si="1"/>
        <v>4419869</v>
      </c>
      <c r="J11" s="232"/>
      <c r="K11" s="22"/>
      <c r="L11" s="30"/>
      <c r="M11" s="23"/>
    </row>
    <row r="12" spans="1:13" ht="15">
      <c r="A12" s="35" t="s">
        <v>12</v>
      </c>
      <c r="B12" s="32" t="s">
        <v>13</v>
      </c>
      <c r="C12" s="36">
        <f>2175045+500000</f>
        <v>2675045</v>
      </c>
      <c r="D12" s="33"/>
      <c r="E12" s="33"/>
      <c r="F12" s="26"/>
      <c r="G12" s="37"/>
      <c r="H12" s="28"/>
      <c r="I12" s="29">
        <f t="shared" si="1"/>
        <v>2675045</v>
      </c>
      <c r="J12" s="232"/>
      <c r="K12" s="22"/>
      <c r="L12" s="30"/>
      <c r="M12" s="23"/>
    </row>
    <row r="13" spans="1:13" ht="15">
      <c r="A13" s="35" t="s">
        <v>14</v>
      </c>
      <c r="B13" s="32" t="s">
        <v>15</v>
      </c>
      <c r="C13" s="255">
        <f>662732+190000</f>
        <v>852732</v>
      </c>
      <c r="D13" s="33"/>
      <c r="E13" s="33"/>
      <c r="F13" s="26"/>
      <c r="G13" s="37"/>
      <c r="H13" s="28"/>
      <c r="I13" s="29">
        <f t="shared" si="1"/>
        <v>852732</v>
      </c>
      <c r="J13" s="232"/>
      <c r="K13" s="22"/>
      <c r="L13" s="30"/>
      <c r="M13" s="23"/>
    </row>
    <row r="14" spans="1:13" ht="15">
      <c r="A14" s="35" t="s">
        <v>16</v>
      </c>
      <c r="B14" s="32" t="s">
        <v>17</v>
      </c>
      <c r="C14" s="36">
        <f>42042+565050+285000</f>
        <v>892092</v>
      </c>
      <c r="D14" s="33"/>
      <c r="E14" s="33"/>
      <c r="F14" s="26"/>
      <c r="G14" s="37"/>
      <c r="H14" s="28"/>
      <c r="I14" s="29">
        <f t="shared" si="1"/>
        <v>892092</v>
      </c>
      <c r="J14" s="232"/>
      <c r="K14" s="22"/>
      <c r="L14" s="30"/>
      <c r="M14" s="23"/>
    </row>
    <row r="15" spans="1:13" ht="15">
      <c r="A15" s="40" t="s">
        <v>18</v>
      </c>
      <c r="B15" s="41" t="s">
        <v>19</v>
      </c>
      <c r="C15" s="42">
        <v>20000</v>
      </c>
      <c r="D15" s="43"/>
      <c r="E15" s="43"/>
      <c r="F15" s="44"/>
      <c r="G15" s="45"/>
      <c r="H15" s="34"/>
      <c r="I15" s="29">
        <f t="shared" si="1"/>
        <v>20000</v>
      </c>
      <c r="J15" s="232"/>
      <c r="K15" s="22"/>
      <c r="L15" s="30"/>
      <c r="M15" s="23"/>
    </row>
    <row r="16" spans="1:13" ht="15.75" thickBot="1">
      <c r="A16" s="47" t="s">
        <v>20</v>
      </c>
      <c r="B16" s="48" t="s">
        <v>21</v>
      </c>
      <c r="C16" s="49">
        <v>250000</v>
      </c>
      <c r="D16" s="46"/>
      <c r="E16" s="46"/>
      <c r="F16" s="50"/>
      <c r="G16" s="46"/>
      <c r="H16" s="51"/>
      <c r="I16" s="52">
        <f t="shared" si="1"/>
        <v>250000</v>
      </c>
      <c r="J16" s="232"/>
      <c r="K16" s="22"/>
      <c r="L16" s="30"/>
      <c r="M16" s="23"/>
    </row>
    <row r="17" spans="1:13" ht="15.75" thickBot="1">
      <c r="A17" s="19"/>
      <c r="B17" s="20" t="s">
        <v>22</v>
      </c>
      <c r="C17" s="21">
        <f aca="true" t="shared" si="2" ref="C17:H17">SUM(C18:C24)</f>
        <v>294200</v>
      </c>
      <c r="D17" s="21">
        <f t="shared" si="2"/>
        <v>2853</v>
      </c>
      <c r="E17" s="21">
        <f t="shared" si="2"/>
        <v>0</v>
      </c>
      <c r="F17" s="21">
        <f t="shared" si="2"/>
        <v>0</v>
      </c>
      <c r="G17" s="21">
        <f t="shared" si="2"/>
        <v>0</v>
      </c>
      <c r="H17" s="53">
        <f t="shared" si="2"/>
        <v>90000</v>
      </c>
      <c r="I17" s="54">
        <f t="shared" si="1"/>
        <v>387053</v>
      </c>
      <c r="J17" s="232"/>
      <c r="K17" s="22"/>
      <c r="L17" s="23"/>
      <c r="M17" s="23"/>
    </row>
    <row r="18" spans="1:13" ht="15">
      <c r="A18" s="55" t="s">
        <v>23</v>
      </c>
      <c r="B18" s="56" t="s">
        <v>24</v>
      </c>
      <c r="C18" s="56"/>
      <c r="D18" s="57"/>
      <c r="E18" s="57"/>
      <c r="F18" s="58"/>
      <c r="G18" s="57"/>
      <c r="H18" s="59"/>
      <c r="I18" s="60">
        <f t="shared" si="1"/>
        <v>0</v>
      </c>
      <c r="J18" s="232"/>
      <c r="K18" s="22"/>
      <c r="L18" s="30"/>
      <c r="M18" s="23"/>
    </row>
    <row r="19" spans="1:13" ht="30">
      <c r="A19" s="24" t="s">
        <v>25</v>
      </c>
      <c r="B19" s="25" t="s">
        <v>26</v>
      </c>
      <c r="C19" s="61">
        <v>4000</v>
      </c>
      <c r="D19" s="61">
        <v>2653</v>
      </c>
      <c r="E19" s="61"/>
      <c r="F19" s="62"/>
      <c r="G19" s="61"/>
      <c r="H19" s="28"/>
      <c r="I19" s="29">
        <f t="shared" si="1"/>
        <v>6653</v>
      </c>
      <c r="J19" s="232"/>
      <c r="K19" s="22"/>
      <c r="L19" s="30"/>
      <c r="M19" s="23"/>
    </row>
    <row r="20" spans="1:13" ht="15" customHeight="1">
      <c r="A20" s="31" t="s">
        <v>27</v>
      </c>
      <c r="B20" s="32" t="s">
        <v>28</v>
      </c>
      <c r="C20" s="26">
        <v>20600</v>
      </c>
      <c r="D20" s="26">
        <v>200</v>
      </c>
      <c r="E20" s="26"/>
      <c r="F20" s="27"/>
      <c r="G20" s="26"/>
      <c r="H20" s="28"/>
      <c r="I20" s="29">
        <f t="shared" si="1"/>
        <v>20800</v>
      </c>
      <c r="J20" s="232"/>
      <c r="K20" s="22"/>
      <c r="L20" s="30"/>
      <c r="M20" s="23"/>
    </row>
    <row r="21" spans="1:13" ht="15">
      <c r="A21" s="31" t="s">
        <v>29</v>
      </c>
      <c r="B21" s="32" t="s">
        <v>30</v>
      </c>
      <c r="C21" s="26">
        <v>9000</v>
      </c>
      <c r="D21" s="26"/>
      <c r="E21" s="26"/>
      <c r="F21" s="27"/>
      <c r="G21" s="26"/>
      <c r="H21" s="28"/>
      <c r="I21" s="29">
        <f t="shared" si="1"/>
        <v>9000</v>
      </c>
      <c r="J21" s="232"/>
      <c r="K21" s="22"/>
      <c r="L21" s="30"/>
      <c r="M21" s="23"/>
    </row>
    <row r="22" spans="1:13" ht="15">
      <c r="A22" s="31" t="s">
        <v>31</v>
      </c>
      <c r="B22" s="32" t="s">
        <v>32</v>
      </c>
      <c r="C22" s="26">
        <v>65000</v>
      </c>
      <c r="D22" s="26"/>
      <c r="E22" s="26"/>
      <c r="F22" s="27"/>
      <c r="G22" s="26"/>
      <c r="H22" s="28"/>
      <c r="I22" s="29">
        <f t="shared" si="1"/>
        <v>65000</v>
      </c>
      <c r="J22" s="232"/>
      <c r="K22" s="22"/>
      <c r="L22" s="30"/>
      <c r="M22" s="23"/>
    </row>
    <row r="23" spans="1:13" ht="15">
      <c r="A23" s="31" t="s">
        <v>33</v>
      </c>
      <c r="B23" s="32" t="s">
        <v>34</v>
      </c>
      <c r="C23" s="26">
        <v>35600</v>
      </c>
      <c r="D23" s="26"/>
      <c r="E23" s="26"/>
      <c r="F23" s="27"/>
      <c r="G23" s="26"/>
      <c r="H23" s="28"/>
      <c r="I23" s="29">
        <f t="shared" si="1"/>
        <v>35600</v>
      </c>
      <c r="J23" s="232"/>
      <c r="K23" s="22"/>
      <c r="L23" s="30"/>
      <c r="M23" s="23"/>
    </row>
    <row r="24" spans="1:13" ht="27.75" customHeight="1">
      <c r="A24" s="31" t="s">
        <v>35</v>
      </c>
      <c r="B24" s="32" t="s">
        <v>36</v>
      </c>
      <c r="C24" s="150">
        <v>160000</v>
      </c>
      <c r="D24" s="26"/>
      <c r="E24" s="26"/>
      <c r="F24" s="26"/>
      <c r="G24" s="26"/>
      <c r="H24" s="28">
        <v>90000</v>
      </c>
      <c r="I24" s="29">
        <f t="shared" si="1"/>
        <v>250000</v>
      </c>
      <c r="J24" s="232"/>
      <c r="K24" s="22"/>
      <c r="L24" s="30"/>
      <c r="M24" s="23"/>
    </row>
    <row r="25" spans="1:13" ht="58.5" thickBot="1">
      <c r="A25" s="64" t="s">
        <v>37</v>
      </c>
      <c r="B25" s="65" t="s">
        <v>38</v>
      </c>
      <c r="C25" s="66">
        <v>0</v>
      </c>
      <c r="D25" s="66"/>
      <c r="E25" s="66"/>
      <c r="F25" s="67"/>
      <c r="G25" s="66"/>
      <c r="H25" s="51"/>
      <c r="I25" s="29">
        <f t="shared" si="1"/>
        <v>0</v>
      </c>
      <c r="J25" s="232"/>
      <c r="K25" s="22"/>
      <c r="L25" s="30"/>
      <c r="M25" s="23"/>
    </row>
    <row r="26" spans="1:13" ht="15.75" thickBot="1">
      <c r="A26" s="68" t="s">
        <v>39</v>
      </c>
      <c r="B26" s="20" t="s">
        <v>40</v>
      </c>
      <c r="C26" s="21">
        <f aca="true" t="shared" si="3" ref="C26:H26">SUM(C27:C27)</f>
        <v>24550262</v>
      </c>
      <c r="D26" s="21">
        <f t="shared" si="3"/>
        <v>0</v>
      </c>
      <c r="E26" s="21">
        <f t="shared" si="3"/>
        <v>0</v>
      </c>
      <c r="F26" s="53">
        <f t="shared" si="3"/>
        <v>0</v>
      </c>
      <c r="G26" s="21">
        <f t="shared" si="3"/>
        <v>0</v>
      </c>
      <c r="H26" s="53">
        <f t="shared" si="3"/>
        <v>0</v>
      </c>
      <c r="I26" s="54">
        <f t="shared" si="1"/>
        <v>24550262</v>
      </c>
      <c r="J26" s="232"/>
      <c r="K26" s="22"/>
      <c r="L26" s="23"/>
      <c r="M26" s="23"/>
    </row>
    <row r="27" spans="1:13" ht="15" customHeight="1" thickBot="1">
      <c r="A27" s="69" t="s">
        <v>41</v>
      </c>
      <c r="B27" s="70" t="s">
        <v>42</v>
      </c>
      <c r="C27" s="266">
        <f>21671927+848312+2030023</f>
        <v>24550262</v>
      </c>
      <c r="D27" s="61"/>
      <c r="E27" s="62"/>
      <c r="F27" s="62"/>
      <c r="G27" s="61"/>
      <c r="H27" s="28"/>
      <c r="I27" s="29">
        <f t="shared" si="1"/>
        <v>24550262</v>
      </c>
      <c r="J27" s="232"/>
      <c r="K27" s="22"/>
      <c r="L27" s="30"/>
      <c r="M27" s="23"/>
    </row>
    <row r="28" spans="1:13" ht="15.75" thickBot="1">
      <c r="A28" s="68" t="s">
        <v>43</v>
      </c>
      <c r="B28" s="20" t="s">
        <v>44</v>
      </c>
      <c r="C28" s="53">
        <f aca="true" t="shared" si="4" ref="C28:H28">SUM(C29:C31)</f>
        <v>650000</v>
      </c>
      <c r="D28" s="53">
        <f t="shared" si="4"/>
        <v>0</v>
      </c>
      <c r="E28" s="53">
        <f t="shared" si="4"/>
        <v>0</v>
      </c>
      <c r="F28" s="53">
        <f t="shared" si="4"/>
        <v>0</v>
      </c>
      <c r="G28" s="21">
        <f t="shared" si="4"/>
        <v>0</v>
      </c>
      <c r="H28" s="53">
        <f t="shared" si="4"/>
        <v>0</v>
      </c>
      <c r="I28" s="54">
        <f t="shared" si="1"/>
        <v>650000</v>
      </c>
      <c r="J28" s="232"/>
      <c r="K28" s="22"/>
      <c r="L28" s="23"/>
      <c r="M28" s="23"/>
    </row>
    <row r="29" spans="1:13" ht="30">
      <c r="A29" s="24" t="s">
        <v>45</v>
      </c>
      <c r="B29" s="25" t="s">
        <v>46</v>
      </c>
      <c r="C29" s="62"/>
      <c r="D29" s="62"/>
      <c r="E29" s="62"/>
      <c r="F29" s="62"/>
      <c r="G29" s="61"/>
      <c r="H29" s="28"/>
      <c r="I29" s="29">
        <f t="shared" si="1"/>
        <v>0</v>
      </c>
      <c r="J29" s="232"/>
      <c r="K29" s="22"/>
      <c r="L29" s="30"/>
      <c r="M29" s="23"/>
    </row>
    <row r="30" spans="1:13" ht="30">
      <c r="A30" s="31" t="s">
        <v>47</v>
      </c>
      <c r="B30" s="253" t="s">
        <v>48</v>
      </c>
      <c r="C30" s="135">
        <v>650000</v>
      </c>
      <c r="D30" s="27"/>
      <c r="E30" s="27"/>
      <c r="F30" s="27"/>
      <c r="G30" s="26"/>
      <c r="H30" s="28"/>
      <c r="I30" s="29">
        <f t="shared" si="1"/>
        <v>650000</v>
      </c>
      <c r="J30" s="232"/>
      <c r="K30" s="22"/>
      <c r="L30" s="30"/>
      <c r="M30" s="23"/>
    </row>
    <row r="31" spans="1:13" ht="19.5" customHeight="1" thickBot="1">
      <c r="A31" s="47" t="s">
        <v>49</v>
      </c>
      <c r="B31" s="32" t="s">
        <v>50</v>
      </c>
      <c r="C31" s="46"/>
      <c r="D31" s="46"/>
      <c r="E31" s="50"/>
      <c r="F31" s="50"/>
      <c r="G31" s="45"/>
      <c r="H31" s="51"/>
      <c r="I31" s="52">
        <f t="shared" si="1"/>
        <v>0</v>
      </c>
      <c r="J31" s="232"/>
      <c r="K31" s="22"/>
      <c r="L31" s="30"/>
      <c r="M31" s="23"/>
    </row>
    <row r="32" spans="1:13" ht="15.75" thickBot="1">
      <c r="A32" s="68" t="s">
        <v>51</v>
      </c>
      <c r="B32" s="20" t="s">
        <v>52</v>
      </c>
      <c r="C32" s="53">
        <f aca="true" t="shared" si="5" ref="C32:H32">SUM(C33,C34,C38)</f>
        <v>2427406</v>
      </c>
      <c r="D32" s="53">
        <f t="shared" si="5"/>
        <v>3111160</v>
      </c>
      <c r="E32" s="53">
        <f t="shared" si="5"/>
        <v>251410</v>
      </c>
      <c r="F32" s="53">
        <f t="shared" si="5"/>
        <v>838062</v>
      </c>
      <c r="G32" s="53">
        <f t="shared" si="5"/>
        <v>411454</v>
      </c>
      <c r="H32" s="53">
        <f t="shared" si="5"/>
        <v>0</v>
      </c>
      <c r="I32" s="54">
        <f t="shared" si="1"/>
        <v>7039492</v>
      </c>
      <c r="J32" s="232"/>
      <c r="K32" s="22"/>
      <c r="L32" s="23"/>
      <c r="M32" s="23"/>
    </row>
    <row r="33" spans="1:13" ht="31.5">
      <c r="A33" s="72" t="s">
        <v>53</v>
      </c>
      <c r="B33" s="73" t="s">
        <v>54</v>
      </c>
      <c r="C33" s="74">
        <f>32728+32347</f>
        <v>65075</v>
      </c>
      <c r="D33" s="62"/>
      <c r="E33" s="62"/>
      <c r="F33" s="62"/>
      <c r="G33" s="61"/>
      <c r="H33" s="28"/>
      <c r="I33" s="29">
        <f>SUM(C33:G33)</f>
        <v>65075</v>
      </c>
      <c r="J33" s="232"/>
      <c r="K33" s="22"/>
      <c r="L33" s="23"/>
      <c r="M33" s="23"/>
    </row>
    <row r="34" spans="1:13" ht="43.5">
      <c r="A34" s="75" t="s">
        <v>55</v>
      </c>
      <c r="B34" s="76" t="s">
        <v>56</v>
      </c>
      <c r="C34" s="77">
        <f aca="true" t="shared" si="6" ref="C34:H34">SUM(C35:C37)</f>
        <v>2362331</v>
      </c>
      <c r="D34" s="77">
        <f t="shared" si="6"/>
        <v>3110160</v>
      </c>
      <c r="E34" s="77">
        <f t="shared" si="6"/>
        <v>251410</v>
      </c>
      <c r="F34" s="77">
        <f t="shared" si="6"/>
        <v>838062</v>
      </c>
      <c r="G34" s="77">
        <f t="shared" si="6"/>
        <v>411454</v>
      </c>
      <c r="H34" s="78">
        <f t="shared" si="6"/>
        <v>0</v>
      </c>
      <c r="I34" s="29">
        <f aca="true" t="shared" si="7" ref="I34:I42">SUM(C34:H34)</f>
        <v>6973417</v>
      </c>
      <c r="J34" s="232"/>
      <c r="K34" s="22"/>
      <c r="L34" s="23"/>
      <c r="M34" s="23"/>
    </row>
    <row r="35" spans="1:13" ht="15">
      <c r="A35" s="35" t="s">
        <v>57</v>
      </c>
      <c r="B35" s="32" t="s">
        <v>58</v>
      </c>
      <c r="C35" s="33">
        <v>638035</v>
      </c>
      <c r="D35" s="79"/>
      <c r="E35" s="79"/>
      <c r="F35" s="27"/>
      <c r="G35" s="26"/>
      <c r="H35" s="81"/>
      <c r="I35" s="29">
        <f t="shared" si="7"/>
        <v>638035</v>
      </c>
      <c r="J35" s="232"/>
      <c r="K35" s="22"/>
      <c r="L35" s="30"/>
      <c r="M35" s="23"/>
    </row>
    <row r="36" spans="1:13" ht="15">
      <c r="A36" s="35" t="s">
        <v>59</v>
      </c>
      <c r="B36" s="32" t="s">
        <v>60</v>
      </c>
      <c r="C36" s="26">
        <v>756996</v>
      </c>
      <c r="D36" s="240">
        <v>40560</v>
      </c>
      <c r="E36" s="26">
        <v>70650</v>
      </c>
      <c r="F36" s="26">
        <v>700</v>
      </c>
      <c r="G36" s="33">
        <v>13622</v>
      </c>
      <c r="H36" s="28"/>
      <c r="I36" s="29">
        <f t="shared" si="7"/>
        <v>882528</v>
      </c>
      <c r="J36" s="232"/>
      <c r="K36" s="22"/>
      <c r="L36" s="30"/>
      <c r="M36" s="23"/>
    </row>
    <row r="37" spans="1:13" ht="30">
      <c r="A37" s="35" t="s">
        <v>61</v>
      </c>
      <c r="B37" s="32" t="s">
        <v>62</v>
      </c>
      <c r="C37" s="150">
        <v>967300</v>
      </c>
      <c r="D37" s="240">
        <v>3069600</v>
      </c>
      <c r="E37" s="26">
        <v>180760</v>
      </c>
      <c r="F37" s="26">
        <v>837362</v>
      </c>
      <c r="G37" s="83">
        <v>397832</v>
      </c>
      <c r="H37" s="28"/>
      <c r="I37" s="29">
        <f t="shared" si="7"/>
        <v>5452854</v>
      </c>
      <c r="J37" s="232"/>
      <c r="K37" s="22"/>
      <c r="L37" s="30"/>
      <c r="M37" s="23"/>
    </row>
    <row r="38" spans="1:13" ht="15" customHeight="1" thickBot="1">
      <c r="A38" s="75" t="s">
        <v>63</v>
      </c>
      <c r="B38" s="76" t="s">
        <v>64</v>
      </c>
      <c r="C38" s="66"/>
      <c r="D38" s="66">
        <v>1000</v>
      </c>
      <c r="E38" s="67"/>
      <c r="F38" s="67"/>
      <c r="G38" s="84"/>
      <c r="H38" s="85"/>
      <c r="I38" s="29">
        <f t="shared" si="7"/>
        <v>1000</v>
      </c>
      <c r="J38" s="232"/>
      <c r="K38" s="22"/>
      <c r="L38" s="30"/>
      <c r="M38" s="23"/>
    </row>
    <row r="39" spans="1:13" ht="15.75" thickBot="1">
      <c r="A39" s="86"/>
      <c r="B39" s="87" t="s">
        <v>65</v>
      </c>
      <c r="C39" s="88">
        <f aca="true" t="shared" si="8" ref="C39:H39">SUM(C8+C17+C25+C26+C28+C32)</f>
        <v>94625354</v>
      </c>
      <c r="D39" s="88">
        <f t="shared" si="8"/>
        <v>3114013</v>
      </c>
      <c r="E39" s="88">
        <f t="shared" si="8"/>
        <v>251410</v>
      </c>
      <c r="F39" s="89">
        <f t="shared" si="8"/>
        <v>838062</v>
      </c>
      <c r="G39" s="88">
        <f t="shared" si="8"/>
        <v>411454</v>
      </c>
      <c r="H39" s="88">
        <f t="shared" si="8"/>
        <v>90000</v>
      </c>
      <c r="I39" s="54">
        <f t="shared" si="7"/>
        <v>99330293</v>
      </c>
      <c r="J39" s="232"/>
      <c r="K39" s="22"/>
      <c r="L39" s="23"/>
      <c r="M39" s="23"/>
    </row>
    <row r="40" spans="1:13" ht="15">
      <c r="A40" s="90" t="s">
        <v>66</v>
      </c>
      <c r="B40" s="91" t="s">
        <v>67</v>
      </c>
      <c r="C40" s="236">
        <f>1395000+252456</f>
        <v>1647456</v>
      </c>
      <c r="D40" s="61"/>
      <c r="E40" s="62"/>
      <c r="F40" s="62"/>
      <c r="G40" s="61"/>
      <c r="H40" s="92"/>
      <c r="I40" s="93">
        <f t="shared" si="7"/>
        <v>1647456</v>
      </c>
      <c r="J40" s="232"/>
      <c r="K40" s="22"/>
      <c r="L40" s="23"/>
      <c r="M40" s="23"/>
    </row>
    <row r="41" spans="1:13" ht="15">
      <c r="A41" s="94"/>
      <c r="B41" s="95" t="s">
        <v>68</v>
      </c>
      <c r="C41" s="96">
        <f aca="true" t="shared" si="9" ref="C41:H41">SUM(C39:C40)</f>
        <v>96272810</v>
      </c>
      <c r="D41" s="94">
        <f t="shared" si="9"/>
        <v>3114013</v>
      </c>
      <c r="E41" s="94">
        <f t="shared" si="9"/>
        <v>251410</v>
      </c>
      <c r="F41" s="97">
        <f t="shared" si="9"/>
        <v>838062</v>
      </c>
      <c r="G41" s="94">
        <f t="shared" si="9"/>
        <v>411454</v>
      </c>
      <c r="H41" s="94">
        <f t="shared" si="9"/>
        <v>90000</v>
      </c>
      <c r="I41" s="74">
        <f t="shared" si="7"/>
        <v>100977749</v>
      </c>
      <c r="J41" s="232"/>
      <c r="K41" s="22"/>
      <c r="L41" s="30"/>
      <c r="M41" s="23"/>
    </row>
    <row r="42" spans="1:13" ht="18" customHeight="1">
      <c r="A42" s="98" t="s">
        <v>69</v>
      </c>
      <c r="B42" s="99" t="s">
        <v>654</v>
      </c>
      <c r="C42" s="265">
        <v>20455593</v>
      </c>
      <c r="D42" s="251">
        <v>1204895</v>
      </c>
      <c r="E42" s="26">
        <v>351901</v>
      </c>
      <c r="F42" s="26">
        <v>94957</v>
      </c>
      <c r="G42" s="33">
        <v>141044</v>
      </c>
      <c r="H42" s="61">
        <v>271648</v>
      </c>
      <c r="I42" s="74">
        <f t="shared" si="7"/>
        <v>22520038</v>
      </c>
      <c r="J42" s="232"/>
      <c r="K42" s="22"/>
      <c r="L42" s="30"/>
      <c r="M42" s="23"/>
    </row>
    <row r="43" spans="1:13" ht="15">
      <c r="A43" s="98" t="s">
        <v>514</v>
      </c>
      <c r="B43" s="100" t="s">
        <v>70</v>
      </c>
      <c r="C43" s="101"/>
      <c r="D43" s="26"/>
      <c r="E43" s="27"/>
      <c r="F43" s="27"/>
      <c r="G43" s="26"/>
      <c r="H43" s="61"/>
      <c r="I43" s="74">
        <f>SUM(C43:G43)</f>
        <v>0</v>
      </c>
      <c r="J43" s="232"/>
      <c r="K43" s="22"/>
      <c r="L43" s="30"/>
      <c r="M43" s="23"/>
    </row>
    <row r="44" spans="1:13" ht="15">
      <c r="A44" s="94"/>
      <c r="B44" s="99" t="s">
        <v>71</v>
      </c>
      <c r="C44" s="102">
        <f aca="true" t="shared" si="10" ref="C44:H44">SUM(C41:C42)</f>
        <v>116728403</v>
      </c>
      <c r="D44" s="102">
        <f t="shared" si="10"/>
        <v>4318908</v>
      </c>
      <c r="E44" s="102">
        <f t="shared" si="10"/>
        <v>603311</v>
      </c>
      <c r="F44" s="102">
        <f t="shared" si="10"/>
        <v>933019</v>
      </c>
      <c r="G44" s="102">
        <f t="shared" si="10"/>
        <v>552498</v>
      </c>
      <c r="H44" s="102">
        <f t="shared" si="10"/>
        <v>361648</v>
      </c>
      <c r="I44" s="102">
        <f>SUM(I41:I42)</f>
        <v>123497787</v>
      </c>
      <c r="J44" s="232"/>
      <c r="K44" s="22"/>
      <c r="L44" s="30"/>
      <c r="M44" s="23"/>
    </row>
    <row r="45" spans="1:13" ht="15">
      <c r="A45" s="103"/>
      <c r="B45" s="104"/>
      <c r="C45" s="238"/>
      <c r="D45" s="238"/>
      <c r="E45" s="238"/>
      <c r="F45" s="238"/>
      <c r="G45" s="238"/>
      <c r="H45" s="238"/>
      <c r="I45" s="238"/>
      <c r="J45" s="232"/>
      <c r="K45" s="22"/>
      <c r="L45" s="30"/>
      <c r="M45" s="23"/>
    </row>
    <row r="46" spans="1:11" ht="15">
      <c r="A46" s="105"/>
      <c r="B46" s="2" t="s">
        <v>72</v>
      </c>
      <c r="C46" s="105"/>
      <c r="D46" s="105" t="s">
        <v>73</v>
      </c>
      <c r="E46" s="105"/>
      <c r="F46" s="105"/>
      <c r="G46" s="105"/>
      <c r="H46" s="105"/>
      <c r="I46" s="106"/>
      <c r="J46" s="106"/>
      <c r="K46" s="106"/>
    </row>
    <row r="47" spans="1:11" ht="15">
      <c r="A47" s="105"/>
      <c r="C47" s="105"/>
      <c r="D47" s="105"/>
      <c r="E47" s="105"/>
      <c r="F47" s="105"/>
      <c r="G47" s="105"/>
      <c r="H47" s="105"/>
      <c r="I47" s="106"/>
      <c r="J47" s="106"/>
      <c r="K47" s="106"/>
    </row>
    <row r="50" ht="15">
      <c r="B50" s="17"/>
    </row>
  </sheetData>
  <sheetProtection/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7"/>
  <sheetViews>
    <sheetView tabSelected="1" zoomScale="98" zoomScaleNormal="98" zoomScalePageLayoutView="0" workbookViewId="0" topLeftCell="A1">
      <pane xSplit="2" ySplit="1" topLeftCell="C2" activePane="bottomRight" state="frozen"/>
      <selection pane="topLeft" activeCell="A6" sqref="A6"/>
      <selection pane="topRight" activeCell="D6" sqref="D6"/>
      <selection pane="bottomLeft" activeCell="A8" sqref="A8"/>
      <selection pane="bottomRight" activeCell="O5" sqref="O5"/>
    </sheetView>
  </sheetViews>
  <sheetFormatPr defaultColWidth="9.140625" defaultRowHeight="15"/>
  <cols>
    <col min="1" max="1" width="9.421875" style="1" customWidth="1"/>
    <col min="2" max="2" width="41.8515625" style="2" customWidth="1"/>
    <col min="3" max="3" width="13.421875" style="1" customWidth="1"/>
    <col min="4" max="4" width="14.421875" style="1" customWidth="1"/>
    <col min="5" max="7" width="10.8515625" style="1" customWidth="1"/>
    <col min="8" max="8" width="16.7109375" style="1" customWidth="1"/>
    <col min="9" max="9" width="15.28125" style="5" customWidth="1"/>
    <col min="10" max="10" width="9.140625" style="5" customWidth="1"/>
    <col min="11" max="11" width="13.7109375" style="5" customWidth="1"/>
    <col min="12" max="12" width="9.57421875" style="1" customWidth="1"/>
    <col min="13" max="13" width="12.57421875" style="1" customWidth="1"/>
    <col min="14" max="14" width="10.7109375" style="1" bestFit="1" customWidth="1"/>
    <col min="15" max="16384" width="9.140625" style="1" customWidth="1"/>
  </cols>
  <sheetData>
    <row r="1" spans="1:11" ht="15">
      <c r="A1" s="105"/>
      <c r="C1" s="105"/>
      <c r="D1" s="105"/>
      <c r="E1" s="105"/>
      <c r="F1" s="105"/>
      <c r="G1" s="105"/>
      <c r="I1" s="107" t="s">
        <v>74</v>
      </c>
      <c r="J1" s="106"/>
      <c r="K1" s="106"/>
    </row>
    <row r="2" spans="1:11" ht="15">
      <c r="A2" s="103"/>
      <c r="B2" s="104"/>
      <c r="C2" s="105"/>
      <c r="D2" s="108"/>
      <c r="E2" s="108"/>
      <c r="F2" s="108"/>
      <c r="G2" s="105"/>
      <c r="I2" s="107" t="s">
        <v>2</v>
      </c>
      <c r="J2" s="106"/>
      <c r="K2" s="106"/>
    </row>
    <row r="3" spans="1:11" ht="15">
      <c r="A3" s="103"/>
      <c r="B3" s="104"/>
      <c r="C3" s="105"/>
      <c r="D3" s="109"/>
      <c r="E3" s="109"/>
      <c r="F3" s="109"/>
      <c r="G3" s="105"/>
      <c r="I3" s="107" t="s">
        <v>692</v>
      </c>
      <c r="J3" s="106"/>
      <c r="K3" s="106"/>
    </row>
    <row r="4" spans="1:11" ht="15">
      <c r="A4" s="110"/>
      <c r="B4" s="111"/>
      <c r="C4" s="105"/>
      <c r="D4" s="109"/>
      <c r="E4" s="109"/>
      <c r="F4" s="109"/>
      <c r="G4" s="105"/>
      <c r="H4" s="105"/>
      <c r="I4" s="106"/>
      <c r="J4" s="106"/>
      <c r="K4" s="106"/>
    </row>
    <row r="5" spans="1:11" ht="39.75" customHeight="1" thickBot="1">
      <c r="A5" s="271" t="s">
        <v>690</v>
      </c>
      <c r="B5" s="271"/>
      <c r="C5" s="271"/>
      <c r="D5" s="105"/>
      <c r="E5" s="105"/>
      <c r="F5" s="105"/>
      <c r="G5" s="105"/>
      <c r="H5" s="105"/>
      <c r="I5" s="106"/>
      <c r="J5" s="106"/>
      <c r="K5" s="106"/>
    </row>
    <row r="6" spans="1:13" ht="105.75" thickBot="1">
      <c r="A6" s="10" t="s">
        <v>3</v>
      </c>
      <c r="B6" s="11" t="s">
        <v>4</v>
      </c>
      <c r="C6" s="12" t="s">
        <v>655</v>
      </c>
      <c r="D6" s="13" t="s">
        <v>651</v>
      </c>
      <c r="E6" s="14" t="s">
        <v>652</v>
      </c>
      <c r="F6" s="14" t="s">
        <v>656</v>
      </c>
      <c r="G6" s="14" t="s">
        <v>653</v>
      </c>
      <c r="H6" s="269" t="s">
        <v>658</v>
      </c>
      <c r="I6" s="16" t="s">
        <v>657</v>
      </c>
      <c r="J6" s="17"/>
      <c r="K6" s="17"/>
      <c r="L6" s="18"/>
      <c r="M6" s="18"/>
    </row>
    <row r="7" spans="1:13" ht="15.75" thickBot="1">
      <c r="A7" s="112" t="s">
        <v>75</v>
      </c>
      <c r="B7" s="20" t="s">
        <v>76</v>
      </c>
      <c r="C7" s="53">
        <f aca="true" t="shared" si="0" ref="C7:H7">C8+C9+C10+C11+C13+C14+C16</f>
        <v>12740107</v>
      </c>
      <c r="D7" s="53">
        <f t="shared" si="0"/>
        <v>0</v>
      </c>
      <c r="E7" s="53">
        <f t="shared" si="0"/>
        <v>0</v>
      </c>
      <c r="F7" s="53">
        <f t="shared" si="0"/>
        <v>0</v>
      </c>
      <c r="G7" s="53">
        <f t="shared" si="0"/>
        <v>0</v>
      </c>
      <c r="H7" s="53">
        <f t="shared" si="0"/>
        <v>0</v>
      </c>
      <c r="I7" s="54">
        <f aca="true" t="shared" si="1" ref="I7:I22">SUM(C7:H7)</f>
        <v>12740107</v>
      </c>
      <c r="J7" s="232"/>
      <c r="K7" s="22"/>
      <c r="L7" s="23"/>
      <c r="M7" s="23"/>
    </row>
    <row r="8" spans="1:13" ht="29.25">
      <c r="A8" s="113" t="s">
        <v>77</v>
      </c>
      <c r="B8" s="114" t="s">
        <v>78</v>
      </c>
      <c r="C8" s="115">
        <v>6865506</v>
      </c>
      <c r="D8" s="239"/>
      <c r="E8" s="61"/>
      <c r="F8" s="92"/>
      <c r="G8" s="93"/>
      <c r="H8" s="116"/>
      <c r="I8" s="117">
        <f t="shared" si="1"/>
        <v>6865506</v>
      </c>
      <c r="J8" s="232"/>
      <c r="K8" s="22"/>
      <c r="L8" s="23"/>
      <c r="M8" s="23"/>
    </row>
    <row r="9" spans="1:13" ht="29.25">
      <c r="A9" s="118" t="s">
        <v>79</v>
      </c>
      <c r="B9" s="114" t="s">
        <v>80</v>
      </c>
      <c r="C9" s="115">
        <v>133041</v>
      </c>
      <c r="D9" s="61"/>
      <c r="E9" s="62"/>
      <c r="F9" s="62"/>
      <c r="G9" s="74"/>
      <c r="H9" s="80"/>
      <c r="I9" s="119">
        <f t="shared" si="1"/>
        <v>133041</v>
      </c>
      <c r="J9" s="232"/>
      <c r="K9" s="22"/>
      <c r="L9" s="30"/>
      <c r="M9" s="23"/>
    </row>
    <row r="10" spans="1:13" ht="29.25">
      <c r="A10" s="118" t="s">
        <v>81</v>
      </c>
      <c r="B10" s="114" t="s">
        <v>82</v>
      </c>
      <c r="C10" s="115">
        <v>18405</v>
      </c>
      <c r="D10" s="61"/>
      <c r="E10" s="62"/>
      <c r="F10" s="62"/>
      <c r="G10" s="74"/>
      <c r="H10" s="80"/>
      <c r="I10" s="119">
        <f t="shared" si="1"/>
        <v>18405</v>
      </c>
      <c r="J10" s="232"/>
      <c r="K10" s="22"/>
      <c r="L10" s="30"/>
      <c r="M10" s="23"/>
    </row>
    <row r="11" spans="1:13" ht="15">
      <c r="A11" s="120" t="s">
        <v>83</v>
      </c>
      <c r="B11" s="76" t="s">
        <v>84</v>
      </c>
      <c r="C11" s="80">
        <f aca="true" t="shared" si="2" ref="C11:H11">SUM(C12:C12)</f>
        <v>4563155</v>
      </c>
      <c r="D11" s="80">
        <f t="shared" si="2"/>
        <v>0</v>
      </c>
      <c r="E11" s="80">
        <f t="shared" si="2"/>
        <v>0</v>
      </c>
      <c r="F11" s="80">
        <f t="shared" si="2"/>
        <v>0</v>
      </c>
      <c r="G11" s="77">
        <f t="shared" si="2"/>
        <v>0</v>
      </c>
      <c r="H11" s="80">
        <f t="shared" si="2"/>
        <v>0</v>
      </c>
      <c r="I11" s="119">
        <f t="shared" si="1"/>
        <v>4563155</v>
      </c>
      <c r="J11" s="232"/>
      <c r="K11" s="22"/>
      <c r="L11" s="30"/>
      <c r="M11" s="23"/>
    </row>
    <row r="12" spans="1:13" ht="19.5" customHeight="1">
      <c r="A12" s="35" t="s">
        <v>85</v>
      </c>
      <c r="B12" s="32" t="s">
        <v>86</v>
      </c>
      <c r="C12" s="27">
        <f>4363155+200000</f>
        <v>4563155</v>
      </c>
      <c r="D12" s="26"/>
      <c r="E12" s="27"/>
      <c r="F12" s="27"/>
      <c r="G12" s="26"/>
      <c r="H12" s="27"/>
      <c r="I12" s="119">
        <f t="shared" si="1"/>
        <v>4563155</v>
      </c>
      <c r="J12" s="232"/>
      <c r="K12" s="22"/>
      <c r="L12" s="30"/>
      <c r="M12" s="23"/>
    </row>
    <row r="13" spans="1:13" ht="29.25">
      <c r="A13" s="121" t="s">
        <v>515</v>
      </c>
      <c r="B13" s="122" t="s">
        <v>87</v>
      </c>
      <c r="C13" s="27">
        <v>60000</v>
      </c>
      <c r="D13" s="26"/>
      <c r="E13" s="27"/>
      <c r="F13" s="27"/>
      <c r="G13" s="26"/>
      <c r="H13" s="27"/>
      <c r="I13" s="119">
        <f t="shared" si="1"/>
        <v>60000</v>
      </c>
      <c r="J13" s="232"/>
      <c r="K13" s="22"/>
      <c r="L13" s="30"/>
      <c r="M13" s="23"/>
    </row>
    <row r="14" spans="1:13" ht="29.25">
      <c r="A14" s="120" t="s">
        <v>88</v>
      </c>
      <c r="B14" s="122" t="s">
        <v>89</v>
      </c>
      <c r="C14" s="80">
        <f aca="true" t="shared" si="3" ref="C14:H14">SUM(C15:C15)</f>
        <v>800000</v>
      </c>
      <c r="D14" s="80">
        <f t="shared" si="3"/>
        <v>0</v>
      </c>
      <c r="E14" s="80">
        <f t="shared" si="3"/>
        <v>0</v>
      </c>
      <c r="F14" s="80">
        <f t="shared" si="3"/>
        <v>0</v>
      </c>
      <c r="G14" s="80">
        <f t="shared" si="3"/>
        <v>0</v>
      </c>
      <c r="H14" s="80">
        <f t="shared" si="3"/>
        <v>0</v>
      </c>
      <c r="I14" s="119">
        <f t="shared" si="1"/>
        <v>800000</v>
      </c>
      <c r="J14" s="232"/>
      <c r="K14" s="22"/>
      <c r="L14" s="30"/>
      <c r="M14" s="23"/>
    </row>
    <row r="15" spans="1:13" ht="15">
      <c r="A15" s="123" t="s">
        <v>90</v>
      </c>
      <c r="B15" s="32" t="s">
        <v>91</v>
      </c>
      <c r="C15" s="135">
        <f>650000+150000</f>
        <v>800000</v>
      </c>
      <c r="D15" s="26"/>
      <c r="E15" s="27"/>
      <c r="F15" s="27"/>
      <c r="G15" s="26"/>
      <c r="H15" s="27"/>
      <c r="I15" s="119">
        <f t="shared" si="1"/>
        <v>800000</v>
      </c>
      <c r="J15" s="232"/>
      <c r="K15" s="22"/>
      <c r="L15" s="30"/>
      <c r="M15" s="23"/>
    </row>
    <row r="16" spans="1:13" s="5" customFormat="1" ht="15.75" thickBot="1">
      <c r="A16" s="124" t="s">
        <v>92</v>
      </c>
      <c r="B16" s="125" t="s">
        <v>93</v>
      </c>
      <c r="C16" s="126">
        <v>300000</v>
      </c>
      <c r="D16" s="127"/>
      <c r="E16" s="128"/>
      <c r="F16" s="128"/>
      <c r="G16" s="129"/>
      <c r="H16" s="22"/>
      <c r="I16" s="130">
        <f t="shared" si="1"/>
        <v>300000</v>
      </c>
      <c r="J16" s="232"/>
      <c r="K16" s="22"/>
      <c r="L16" s="23"/>
      <c r="M16" s="23"/>
    </row>
    <row r="17" spans="1:14" ht="15.75" thickBot="1">
      <c r="A17" s="68" t="s">
        <v>94</v>
      </c>
      <c r="B17" s="20" t="s">
        <v>95</v>
      </c>
      <c r="C17" s="53">
        <f aca="true" t="shared" si="4" ref="C17:H17">SUM(C18:C19,C21:C22)</f>
        <v>2279362</v>
      </c>
      <c r="D17" s="53">
        <f t="shared" si="4"/>
        <v>0</v>
      </c>
      <c r="E17" s="53">
        <f t="shared" si="4"/>
        <v>0</v>
      </c>
      <c r="F17" s="53">
        <f t="shared" si="4"/>
        <v>0</v>
      </c>
      <c r="G17" s="53">
        <f t="shared" si="4"/>
        <v>0</v>
      </c>
      <c r="H17" s="53">
        <f t="shared" si="4"/>
        <v>0</v>
      </c>
      <c r="I17" s="54">
        <f t="shared" si="1"/>
        <v>2279362</v>
      </c>
      <c r="J17" s="232"/>
      <c r="K17" s="22"/>
      <c r="L17" s="23"/>
      <c r="M17" s="23"/>
      <c r="N17" s="131"/>
    </row>
    <row r="18" spans="1:13" ht="15">
      <c r="A18" s="118" t="s">
        <v>533</v>
      </c>
      <c r="B18" s="114" t="s">
        <v>96</v>
      </c>
      <c r="C18" s="132">
        <v>2145357</v>
      </c>
      <c r="D18" s="61"/>
      <c r="E18" s="62"/>
      <c r="F18" s="62"/>
      <c r="G18" s="61"/>
      <c r="H18" s="63"/>
      <c r="I18" s="117">
        <f t="shared" si="1"/>
        <v>2145357</v>
      </c>
      <c r="J18" s="232"/>
      <c r="K18" s="22"/>
      <c r="L18" s="30"/>
      <c r="M18" s="23"/>
    </row>
    <row r="19" spans="1:13" ht="29.25">
      <c r="A19" s="120" t="s">
        <v>97</v>
      </c>
      <c r="B19" s="133" t="s">
        <v>98</v>
      </c>
      <c r="C19" s="80">
        <f aca="true" t="shared" si="5" ref="C19:H19">SUM(C20:C20)</f>
        <v>74000</v>
      </c>
      <c r="D19" s="80">
        <f t="shared" si="5"/>
        <v>0</v>
      </c>
      <c r="E19" s="80"/>
      <c r="F19" s="80">
        <f t="shared" si="5"/>
        <v>0</v>
      </c>
      <c r="G19" s="80">
        <f t="shared" si="5"/>
        <v>0</v>
      </c>
      <c r="H19" s="80">
        <f t="shared" si="5"/>
        <v>0</v>
      </c>
      <c r="I19" s="119">
        <f t="shared" si="1"/>
        <v>74000</v>
      </c>
      <c r="J19" s="232"/>
      <c r="K19" s="22"/>
      <c r="L19" s="30"/>
      <c r="M19" s="23"/>
    </row>
    <row r="20" spans="1:13" ht="15">
      <c r="A20" s="35" t="s">
        <v>99</v>
      </c>
      <c r="B20" s="134" t="s">
        <v>659</v>
      </c>
      <c r="C20" s="135">
        <v>74000</v>
      </c>
      <c r="D20" s="26"/>
      <c r="E20" s="27"/>
      <c r="F20" s="27"/>
      <c r="G20" s="26"/>
      <c r="H20" s="27"/>
      <c r="I20" s="119">
        <f t="shared" si="1"/>
        <v>74000</v>
      </c>
      <c r="J20" s="232"/>
      <c r="K20" s="22"/>
      <c r="L20" s="30"/>
      <c r="M20" s="23"/>
    </row>
    <row r="21" spans="1:13" s="5" customFormat="1" ht="29.25">
      <c r="A21" s="154" t="s">
        <v>512</v>
      </c>
      <c r="B21" s="76" t="s">
        <v>100</v>
      </c>
      <c r="C21" s="77">
        <v>30965</v>
      </c>
      <c r="D21" s="77"/>
      <c r="E21" s="80"/>
      <c r="F21" s="80"/>
      <c r="G21" s="77"/>
      <c r="H21" s="80"/>
      <c r="I21" s="119">
        <f t="shared" si="1"/>
        <v>30965</v>
      </c>
      <c r="J21" s="232"/>
      <c r="K21" s="22"/>
      <c r="L21" s="30"/>
      <c r="M21" s="23"/>
    </row>
    <row r="22" spans="1:13" s="5" customFormat="1" ht="15.75" thickBot="1">
      <c r="A22" s="136" t="s">
        <v>101</v>
      </c>
      <c r="B22" s="137" t="s">
        <v>102</v>
      </c>
      <c r="C22" s="138">
        <v>29040</v>
      </c>
      <c r="D22" s="138"/>
      <c r="E22" s="138"/>
      <c r="F22" s="138"/>
      <c r="G22" s="129"/>
      <c r="H22" s="22"/>
      <c r="I22" s="130">
        <f t="shared" si="1"/>
        <v>29040</v>
      </c>
      <c r="J22" s="232"/>
      <c r="K22" s="22"/>
      <c r="L22" s="30"/>
      <c r="M22" s="23"/>
    </row>
    <row r="23" spans="1:13" ht="15.75" thickBot="1">
      <c r="A23" s="68" t="s">
        <v>103</v>
      </c>
      <c r="B23" s="20" t="s">
        <v>104</v>
      </c>
      <c r="C23" s="139">
        <f aca="true" t="shared" si="6" ref="C23:I23">SUM(C24,C29:C30,C51,C53,C54,C55)</f>
        <v>4197191</v>
      </c>
      <c r="D23" s="139">
        <f t="shared" si="6"/>
        <v>189175</v>
      </c>
      <c r="E23" s="139">
        <f t="shared" si="6"/>
        <v>0</v>
      </c>
      <c r="F23" s="139">
        <f t="shared" si="6"/>
        <v>0</v>
      </c>
      <c r="G23" s="139">
        <f t="shared" si="6"/>
        <v>0</v>
      </c>
      <c r="H23" s="139">
        <f t="shared" si="6"/>
        <v>672832</v>
      </c>
      <c r="I23" s="139">
        <f t="shared" si="6"/>
        <v>5059198</v>
      </c>
      <c r="J23" s="232"/>
      <c r="K23" s="22"/>
      <c r="L23" s="23"/>
      <c r="M23" s="23"/>
    </row>
    <row r="24" spans="1:13" ht="15">
      <c r="A24" s="113" t="s">
        <v>105</v>
      </c>
      <c r="B24" s="74" t="s">
        <v>106</v>
      </c>
      <c r="C24" s="115">
        <f aca="true" t="shared" si="7" ref="C24:H24">SUM(C25:C28)</f>
        <v>159458</v>
      </c>
      <c r="D24" s="115">
        <f t="shared" si="7"/>
        <v>0</v>
      </c>
      <c r="E24" s="115">
        <f t="shared" si="7"/>
        <v>0</v>
      </c>
      <c r="F24" s="115">
        <f t="shared" si="7"/>
        <v>0</v>
      </c>
      <c r="G24" s="74">
        <f t="shared" si="7"/>
        <v>0</v>
      </c>
      <c r="H24" s="115">
        <f t="shared" si="7"/>
        <v>0</v>
      </c>
      <c r="I24" s="117">
        <f aca="true" t="shared" si="8" ref="I24:I29">SUM(C24:H24)</f>
        <v>159458</v>
      </c>
      <c r="J24" s="232"/>
      <c r="K24" s="22"/>
      <c r="L24" s="30"/>
      <c r="M24" s="23"/>
    </row>
    <row r="25" spans="1:13" ht="15">
      <c r="A25" s="140" t="s">
        <v>107</v>
      </c>
      <c r="B25" s="61" t="s">
        <v>108</v>
      </c>
      <c r="C25" s="132">
        <f>5458</f>
        <v>5458</v>
      </c>
      <c r="D25" s="61"/>
      <c r="E25" s="62"/>
      <c r="F25" s="62"/>
      <c r="G25" s="61"/>
      <c r="H25" s="27"/>
      <c r="I25" s="119">
        <f t="shared" si="8"/>
        <v>5458</v>
      </c>
      <c r="J25" s="232"/>
      <c r="K25" s="22"/>
      <c r="L25" s="30"/>
      <c r="M25" s="23"/>
    </row>
    <row r="26" spans="1:13" ht="30">
      <c r="A26" s="140" t="s">
        <v>109</v>
      </c>
      <c r="B26" s="141" t="s">
        <v>110</v>
      </c>
      <c r="C26" s="62">
        <f>52000</f>
        <v>52000</v>
      </c>
      <c r="D26" s="61"/>
      <c r="E26" s="62"/>
      <c r="F26" s="62"/>
      <c r="G26" s="61"/>
      <c r="H26" s="27"/>
      <c r="I26" s="119">
        <f t="shared" si="8"/>
        <v>52000</v>
      </c>
      <c r="J26" s="232"/>
      <c r="K26" s="22"/>
      <c r="L26" s="30"/>
      <c r="M26" s="23"/>
    </row>
    <row r="27" spans="1:13" ht="15">
      <c r="A27" s="140" t="s">
        <v>111</v>
      </c>
      <c r="B27" s="142" t="s">
        <v>112</v>
      </c>
      <c r="C27" s="132">
        <v>2000</v>
      </c>
      <c r="D27" s="61"/>
      <c r="E27" s="62"/>
      <c r="F27" s="62"/>
      <c r="G27" s="61"/>
      <c r="H27" s="27"/>
      <c r="I27" s="119">
        <f t="shared" si="8"/>
        <v>2000</v>
      </c>
      <c r="J27" s="232"/>
      <c r="K27" s="22"/>
      <c r="L27" s="30"/>
      <c r="M27" s="23"/>
    </row>
    <row r="28" spans="1:13" ht="15">
      <c r="A28" s="143" t="s">
        <v>113</v>
      </c>
      <c r="B28" s="144" t="s">
        <v>114</v>
      </c>
      <c r="C28" s="62">
        <v>100000</v>
      </c>
      <c r="D28" s="61"/>
      <c r="E28" s="62"/>
      <c r="F28" s="62"/>
      <c r="G28" s="61"/>
      <c r="H28" s="27"/>
      <c r="I28" s="119">
        <f t="shared" si="8"/>
        <v>100000</v>
      </c>
      <c r="J28" s="232"/>
      <c r="K28" s="22"/>
      <c r="L28" s="30"/>
      <c r="M28" s="23"/>
    </row>
    <row r="29" spans="1:13" ht="15">
      <c r="A29" s="113" t="s">
        <v>115</v>
      </c>
      <c r="B29" s="114" t="s">
        <v>116</v>
      </c>
      <c r="C29" s="115">
        <v>670286</v>
      </c>
      <c r="D29" s="26"/>
      <c r="E29" s="27"/>
      <c r="F29" s="27"/>
      <c r="G29" s="26"/>
      <c r="H29" s="27"/>
      <c r="I29" s="119">
        <f t="shared" si="8"/>
        <v>670286</v>
      </c>
      <c r="J29" s="232"/>
      <c r="K29" s="22"/>
      <c r="L29" s="30"/>
      <c r="M29" s="23"/>
    </row>
    <row r="30" spans="1:13" ht="15">
      <c r="A30" s="120" t="s">
        <v>117</v>
      </c>
      <c r="B30" s="76" t="s">
        <v>118</v>
      </c>
      <c r="C30" s="80">
        <f aca="true" t="shared" si="9" ref="C30:I30">SUM(C31:C50)</f>
        <v>3088755</v>
      </c>
      <c r="D30" s="80">
        <f t="shared" si="9"/>
        <v>189175</v>
      </c>
      <c r="E30" s="80">
        <f t="shared" si="9"/>
        <v>0</v>
      </c>
      <c r="F30" s="80">
        <f t="shared" si="9"/>
        <v>0</v>
      </c>
      <c r="G30" s="80">
        <f t="shared" si="9"/>
        <v>0</v>
      </c>
      <c r="H30" s="80">
        <f t="shared" si="9"/>
        <v>0</v>
      </c>
      <c r="I30" s="119">
        <f t="shared" si="9"/>
        <v>3277930</v>
      </c>
      <c r="J30" s="232"/>
      <c r="K30" s="22"/>
      <c r="L30" s="30"/>
      <c r="M30" s="23"/>
    </row>
    <row r="31" spans="1:14" ht="15">
      <c r="A31" s="145" t="s">
        <v>119</v>
      </c>
      <c r="B31" s="32" t="s">
        <v>120</v>
      </c>
      <c r="C31" s="135">
        <f>12100+18000+101006+96828+712845+300000</f>
        <v>1240779</v>
      </c>
      <c r="D31" s="26"/>
      <c r="E31" s="27"/>
      <c r="F31" s="27"/>
      <c r="G31" s="26"/>
      <c r="H31" s="27"/>
      <c r="I31" s="119">
        <f aca="true" t="shared" si="10" ref="I31:I86">SUM(C31:H31)</f>
        <v>1240779</v>
      </c>
      <c r="J31" s="232"/>
      <c r="K31" s="22"/>
      <c r="L31" s="30"/>
      <c r="M31" s="23"/>
      <c r="N31" s="268"/>
    </row>
    <row r="32" spans="1:13" ht="15">
      <c r="A32" s="145" t="s">
        <v>121</v>
      </c>
      <c r="B32" s="146" t="s">
        <v>527</v>
      </c>
      <c r="C32" s="150">
        <f>19550+60821</f>
        <v>80371</v>
      </c>
      <c r="D32" s="26"/>
      <c r="E32" s="233"/>
      <c r="F32" s="27"/>
      <c r="G32" s="26"/>
      <c r="H32" s="27"/>
      <c r="I32" s="119">
        <f t="shared" si="10"/>
        <v>80371</v>
      </c>
      <c r="J32" s="232"/>
      <c r="K32" s="22"/>
      <c r="L32" s="30"/>
      <c r="M32" s="23"/>
    </row>
    <row r="33" spans="1:13" ht="30">
      <c r="A33" s="145" t="s">
        <v>122</v>
      </c>
      <c r="B33" s="146" t="s">
        <v>123</v>
      </c>
      <c r="C33" s="150">
        <v>74542</v>
      </c>
      <c r="D33" s="26"/>
      <c r="E33" s="233"/>
      <c r="F33" s="27"/>
      <c r="G33" s="26"/>
      <c r="H33" s="27"/>
      <c r="I33" s="119">
        <f t="shared" si="10"/>
        <v>74542</v>
      </c>
      <c r="J33" s="232"/>
      <c r="K33" s="22"/>
      <c r="L33" s="30"/>
      <c r="M33" s="23"/>
    </row>
    <row r="34" spans="1:13" ht="15">
      <c r="A34" s="145" t="s">
        <v>124</v>
      </c>
      <c r="B34" s="147" t="s">
        <v>125</v>
      </c>
      <c r="C34" s="150">
        <f>40000+185977</f>
        <v>225977</v>
      </c>
      <c r="D34" s="26"/>
      <c r="E34" s="234"/>
      <c r="F34" s="27"/>
      <c r="G34" s="26"/>
      <c r="H34" s="27"/>
      <c r="I34" s="119">
        <f t="shared" si="10"/>
        <v>225977</v>
      </c>
      <c r="J34" s="232"/>
      <c r="K34" s="22"/>
      <c r="L34" s="30"/>
      <c r="M34" s="23"/>
    </row>
    <row r="35" spans="1:13" ht="30">
      <c r="A35" s="145" t="s">
        <v>126</v>
      </c>
      <c r="B35" s="146" t="s">
        <v>127</v>
      </c>
      <c r="C35" s="150">
        <f>30000+65480</f>
        <v>95480</v>
      </c>
      <c r="D35" s="26"/>
      <c r="E35" s="233"/>
      <c r="F35" s="27"/>
      <c r="G35" s="26"/>
      <c r="H35" s="27"/>
      <c r="I35" s="119">
        <f t="shared" si="10"/>
        <v>95480</v>
      </c>
      <c r="J35" s="232"/>
      <c r="K35" s="22"/>
      <c r="L35" s="30"/>
      <c r="M35" s="23"/>
    </row>
    <row r="36" spans="1:13" ht="30">
      <c r="A36" s="145" t="s">
        <v>128</v>
      </c>
      <c r="B36" s="146" t="s">
        <v>129</v>
      </c>
      <c r="C36" s="150">
        <f>9000+89946</f>
        <v>98946</v>
      </c>
      <c r="D36" s="26"/>
      <c r="E36" s="233"/>
      <c r="F36" s="27"/>
      <c r="G36" s="26"/>
      <c r="H36" s="27"/>
      <c r="I36" s="119">
        <f t="shared" si="10"/>
        <v>98946</v>
      </c>
      <c r="J36" s="232"/>
      <c r="K36" s="22"/>
      <c r="L36" s="30"/>
      <c r="M36" s="23"/>
    </row>
    <row r="37" spans="1:13" ht="15">
      <c r="A37" s="145" t="s">
        <v>130</v>
      </c>
      <c r="B37" s="147" t="s">
        <v>131</v>
      </c>
      <c r="C37" s="150">
        <v>208077</v>
      </c>
      <c r="D37" s="26"/>
      <c r="E37" s="234"/>
      <c r="F37" s="27"/>
      <c r="G37" s="26"/>
      <c r="H37" s="27"/>
      <c r="I37" s="119">
        <f t="shared" si="10"/>
        <v>208077</v>
      </c>
      <c r="J37" s="232"/>
      <c r="K37" s="22"/>
      <c r="L37" s="30"/>
      <c r="M37" s="23"/>
    </row>
    <row r="38" spans="1:13" ht="30">
      <c r="A38" s="145" t="s">
        <v>521</v>
      </c>
      <c r="B38" s="146" t="s">
        <v>522</v>
      </c>
      <c r="C38" s="135">
        <v>43001</v>
      </c>
      <c r="D38" s="26"/>
      <c r="E38" s="235"/>
      <c r="F38" s="27"/>
      <c r="G38" s="26"/>
      <c r="H38" s="27"/>
      <c r="I38" s="119">
        <f t="shared" si="10"/>
        <v>43001</v>
      </c>
      <c r="J38" s="232"/>
      <c r="K38" s="22"/>
      <c r="L38" s="30"/>
      <c r="M38" s="23"/>
    </row>
    <row r="39" spans="1:13" ht="15" customHeight="1">
      <c r="A39" s="145" t="s">
        <v>525</v>
      </c>
      <c r="B39" s="146" t="s">
        <v>526</v>
      </c>
      <c r="C39" s="135">
        <v>66715</v>
      </c>
      <c r="D39" s="26"/>
      <c r="E39" s="235"/>
      <c r="F39" s="27"/>
      <c r="G39" s="26"/>
      <c r="H39" s="27"/>
      <c r="I39" s="119">
        <f t="shared" si="10"/>
        <v>66715</v>
      </c>
      <c r="J39" s="232"/>
      <c r="K39" s="22"/>
      <c r="L39" s="30"/>
      <c r="M39" s="23"/>
    </row>
    <row r="40" spans="1:13" ht="15">
      <c r="A40" s="145" t="s">
        <v>534</v>
      </c>
      <c r="B40" s="147" t="s">
        <v>542</v>
      </c>
      <c r="C40" s="135">
        <f>111144+3065</f>
        <v>114209</v>
      </c>
      <c r="D40" s="26"/>
      <c r="E40" s="235"/>
      <c r="F40" s="27"/>
      <c r="G40" s="26"/>
      <c r="H40" s="27"/>
      <c r="I40" s="119">
        <f t="shared" si="10"/>
        <v>114209</v>
      </c>
      <c r="J40" s="232"/>
      <c r="K40" s="22"/>
      <c r="L40" s="30"/>
      <c r="M40" s="267"/>
    </row>
    <row r="41" spans="1:13" ht="15">
      <c r="A41" s="145" t="s">
        <v>535</v>
      </c>
      <c r="B41" s="147" t="s">
        <v>543</v>
      </c>
      <c r="C41" s="135">
        <f>47703+1155</f>
        <v>48858</v>
      </c>
      <c r="D41" s="26"/>
      <c r="E41" s="235"/>
      <c r="F41" s="27"/>
      <c r="G41" s="26"/>
      <c r="H41" s="27"/>
      <c r="I41" s="119">
        <f t="shared" si="10"/>
        <v>48858</v>
      </c>
      <c r="J41" s="232"/>
      <c r="K41" s="22"/>
      <c r="L41" s="30"/>
      <c r="M41" s="267"/>
    </row>
    <row r="42" spans="1:13" ht="15">
      <c r="A42" s="145" t="s">
        <v>536</v>
      </c>
      <c r="B42" s="147" t="s">
        <v>544</v>
      </c>
      <c r="C42" s="135">
        <f>21436+52662</f>
        <v>74098</v>
      </c>
      <c r="D42" s="26"/>
      <c r="E42" s="235"/>
      <c r="F42" s="27"/>
      <c r="G42" s="26"/>
      <c r="H42" s="27"/>
      <c r="I42" s="119">
        <f t="shared" si="10"/>
        <v>74098</v>
      </c>
      <c r="J42" s="232"/>
      <c r="K42" s="22"/>
      <c r="L42" s="30"/>
      <c r="M42" s="23"/>
    </row>
    <row r="43" spans="1:13" ht="15">
      <c r="A43" s="145" t="s">
        <v>537</v>
      </c>
      <c r="B43" s="147" t="s">
        <v>545</v>
      </c>
      <c r="C43" s="135">
        <f>101051+88493</f>
        <v>189544</v>
      </c>
      <c r="D43" s="26"/>
      <c r="E43" s="235"/>
      <c r="F43" s="27"/>
      <c r="G43" s="26"/>
      <c r="H43" s="27"/>
      <c r="I43" s="119">
        <f t="shared" si="10"/>
        <v>189544</v>
      </c>
      <c r="J43" s="232"/>
      <c r="K43" s="22"/>
      <c r="L43" s="30"/>
      <c r="M43" s="23"/>
    </row>
    <row r="44" spans="1:13" ht="15">
      <c r="A44" s="145" t="s">
        <v>538</v>
      </c>
      <c r="B44" s="147" t="s">
        <v>546</v>
      </c>
      <c r="C44" s="135">
        <v>59002</v>
      </c>
      <c r="D44" s="26"/>
      <c r="E44" s="235"/>
      <c r="F44" s="27"/>
      <c r="G44" s="26"/>
      <c r="H44" s="27"/>
      <c r="I44" s="119">
        <f t="shared" si="10"/>
        <v>59002</v>
      </c>
      <c r="J44" s="232"/>
      <c r="K44" s="22"/>
      <c r="L44" s="30"/>
      <c r="M44" s="267"/>
    </row>
    <row r="45" spans="1:13" ht="15">
      <c r="A45" s="145" t="s">
        <v>539</v>
      </c>
      <c r="B45" s="147" t="s">
        <v>547</v>
      </c>
      <c r="C45" s="135">
        <v>64361</v>
      </c>
      <c r="D45" s="26"/>
      <c r="E45" s="235"/>
      <c r="F45" s="27"/>
      <c r="G45" s="26"/>
      <c r="H45" s="27"/>
      <c r="I45" s="119">
        <f t="shared" si="10"/>
        <v>64361</v>
      </c>
      <c r="J45" s="232"/>
      <c r="K45" s="22"/>
      <c r="L45" s="30"/>
      <c r="M45" s="267"/>
    </row>
    <row r="46" spans="1:13" ht="15">
      <c r="A46" s="145" t="s">
        <v>540</v>
      </c>
      <c r="B46" s="147" t="s">
        <v>548</v>
      </c>
      <c r="C46" s="135">
        <v>38148</v>
      </c>
      <c r="D46" s="26"/>
      <c r="E46" s="235"/>
      <c r="F46" s="27"/>
      <c r="G46" s="26"/>
      <c r="H46" s="27"/>
      <c r="I46" s="119">
        <f t="shared" si="10"/>
        <v>38148</v>
      </c>
      <c r="J46" s="232"/>
      <c r="K46" s="22"/>
      <c r="L46" s="30"/>
      <c r="M46" s="23"/>
    </row>
    <row r="47" spans="1:13" ht="15">
      <c r="A47" s="145" t="s">
        <v>541</v>
      </c>
      <c r="B47" s="147" t="s">
        <v>549</v>
      </c>
      <c r="C47" s="135">
        <f>23083+54070</f>
        <v>77153</v>
      </c>
      <c r="D47" s="26"/>
      <c r="E47" s="235"/>
      <c r="F47" s="27"/>
      <c r="G47" s="26"/>
      <c r="H47" s="27"/>
      <c r="I47" s="119">
        <f t="shared" si="10"/>
        <v>77153</v>
      </c>
      <c r="J47" s="232"/>
      <c r="K47" s="22"/>
      <c r="L47" s="30"/>
      <c r="M47" s="23"/>
    </row>
    <row r="48" spans="1:13" ht="15">
      <c r="A48" s="35" t="s">
        <v>132</v>
      </c>
      <c r="B48" s="148" t="s">
        <v>133</v>
      </c>
      <c r="C48" s="149"/>
      <c r="D48" s="26">
        <v>189175</v>
      </c>
      <c r="E48" s="27"/>
      <c r="F48" s="27"/>
      <c r="G48" s="150"/>
      <c r="H48" s="27"/>
      <c r="I48" s="119">
        <f t="shared" si="10"/>
        <v>189175</v>
      </c>
      <c r="J48" s="232"/>
      <c r="K48" s="22"/>
      <c r="L48" s="30"/>
      <c r="M48" s="23"/>
    </row>
    <row r="49" spans="1:13" ht="45">
      <c r="A49" s="151" t="s">
        <v>134</v>
      </c>
      <c r="B49" s="152" t="s">
        <v>531</v>
      </c>
      <c r="C49" s="26">
        <v>200690</v>
      </c>
      <c r="D49" s="26"/>
      <c r="E49" s="27"/>
      <c r="F49" s="27"/>
      <c r="G49" s="26"/>
      <c r="H49" s="27"/>
      <c r="I49" s="119">
        <f t="shared" si="10"/>
        <v>200690</v>
      </c>
      <c r="J49" s="232"/>
      <c r="K49" s="22"/>
      <c r="L49" s="30"/>
      <c r="M49" s="23"/>
    </row>
    <row r="50" spans="1:13" ht="30">
      <c r="A50" s="151" t="s">
        <v>135</v>
      </c>
      <c r="B50" s="152" t="s">
        <v>532</v>
      </c>
      <c r="C50" s="27">
        <v>88804</v>
      </c>
      <c r="D50" s="26"/>
      <c r="E50" s="27"/>
      <c r="F50" s="27"/>
      <c r="G50" s="26"/>
      <c r="H50" s="27"/>
      <c r="I50" s="119">
        <f t="shared" si="10"/>
        <v>88804</v>
      </c>
      <c r="J50" s="232"/>
      <c r="K50" s="22"/>
      <c r="L50" s="30"/>
      <c r="M50" s="23"/>
    </row>
    <row r="51" spans="1:13" ht="15">
      <c r="A51" s="120" t="s">
        <v>136</v>
      </c>
      <c r="B51" s="153" t="s">
        <v>137</v>
      </c>
      <c r="C51" s="80">
        <f aca="true" t="shared" si="11" ref="C51:H51">SUM(C52:C52)</f>
        <v>0</v>
      </c>
      <c r="D51" s="80">
        <f t="shared" si="11"/>
        <v>0</v>
      </c>
      <c r="E51" s="80">
        <f t="shared" si="11"/>
        <v>0</v>
      </c>
      <c r="F51" s="80">
        <f t="shared" si="11"/>
        <v>0</v>
      </c>
      <c r="G51" s="77">
        <f t="shared" si="11"/>
        <v>0</v>
      </c>
      <c r="H51" s="80">
        <f t="shared" si="11"/>
        <v>0</v>
      </c>
      <c r="I51" s="119">
        <f t="shared" si="10"/>
        <v>0</v>
      </c>
      <c r="J51" s="232"/>
      <c r="K51" s="22"/>
      <c r="L51" s="30"/>
      <c r="M51" s="23"/>
    </row>
    <row r="52" spans="1:13" ht="15">
      <c r="A52" s="35" t="s">
        <v>138</v>
      </c>
      <c r="B52" s="32" t="s">
        <v>139</v>
      </c>
      <c r="C52" s="27"/>
      <c r="D52" s="26"/>
      <c r="E52" s="27"/>
      <c r="F52" s="27"/>
      <c r="G52" s="26"/>
      <c r="H52" s="27"/>
      <c r="I52" s="119">
        <f t="shared" si="10"/>
        <v>0</v>
      </c>
      <c r="J52" s="232"/>
      <c r="K52" s="22"/>
      <c r="L52" s="30"/>
      <c r="M52" s="23"/>
    </row>
    <row r="53" spans="1:13" ht="15">
      <c r="A53" s="205" t="s">
        <v>140</v>
      </c>
      <c r="B53" s="157" t="s">
        <v>519</v>
      </c>
      <c r="C53" s="27">
        <v>234630</v>
      </c>
      <c r="D53" s="27"/>
      <c r="E53" s="27"/>
      <c r="F53" s="27"/>
      <c r="G53" s="27"/>
      <c r="H53" s="27"/>
      <c r="I53" s="119">
        <f t="shared" si="10"/>
        <v>234630</v>
      </c>
      <c r="J53" s="232"/>
      <c r="K53" s="22"/>
      <c r="L53" s="30"/>
      <c r="M53" s="23"/>
    </row>
    <row r="54" spans="1:13" ht="30">
      <c r="A54" s="155" t="s">
        <v>141</v>
      </c>
      <c r="B54" s="156" t="s">
        <v>142</v>
      </c>
      <c r="C54" s="67"/>
      <c r="D54" s="67"/>
      <c r="E54" s="67"/>
      <c r="F54" s="67"/>
      <c r="G54" s="67"/>
      <c r="H54" s="50">
        <v>672832</v>
      </c>
      <c r="I54" s="119">
        <f t="shared" si="10"/>
        <v>672832</v>
      </c>
      <c r="J54" s="232"/>
      <c r="K54" s="22"/>
      <c r="L54" s="30"/>
      <c r="M54" s="23"/>
    </row>
    <row r="55" spans="1:13" ht="15.75" thickBot="1">
      <c r="A55" s="155" t="s">
        <v>143</v>
      </c>
      <c r="B55" s="157" t="s">
        <v>144</v>
      </c>
      <c r="C55" s="26">
        <v>44062</v>
      </c>
      <c r="D55" s="26"/>
      <c r="E55" s="26"/>
      <c r="F55" s="26"/>
      <c r="G55" s="26"/>
      <c r="H55" s="50"/>
      <c r="I55" s="119">
        <f t="shared" si="10"/>
        <v>44062</v>
      </c>
      <c r="J55" s="232"/>
      <c r="K55" s="22"/>
      <c r="L55" s="30"/>
      <c r="M55" s="23"/>
    </row>
    <row r="56" spans="1:13" ht="15.75" thickBot="1">
      <c r="A56" s="68" t="s">
        <v>145</v>
      </c>
      <c r="B56" s="158" t="s">
        <v>146</v>
      </c>
      <c r="C56" s="53">
        <f aca="true" t="shared" si="12" ref="C56:H56">C57+C60+C70+C72</f>
        <v>725542</v>
      </c>
      <c r="D56" s="53">
        <f t="shared" si="12"/>
        <v>567515</v>
      </c>
      <c r="E56" s="53">
        <f t="shared" si="12"/>
        <v>0</v>
      </c>
      <c r="F56" s="53">
        <f t="shared" si="12"/>
        <v>0</v>
      </c>
      <c r="G56" s="53">
        <f t="shared" si="12"/>
        <v>142974</v>
      </c>
      <c r="H56" s="53">
        <f t="shared" si="12"/>
        <v>0</v>
      </c>
      <c r="I56" s="54">
        <f t="shared" si="10"/>
        <v>1436031</v>
      </c>
      <c r="J56" s="232"/>
      <c r="K56" s="22"/>
      <c r="L56" s="23"/>
      <c r="M56" s="23"/>
    </row>
    <row r="57" spans="1:13" ht="15">
      <c r="A57" s="113" t="s">
        <v>147</v>
      </c>
      <c r="B57" s="153" t="s">
        <v>148</v>
      </c>
      <c r="C57" s="115">
        <f aca="true" t="shared" si="13" ref="C57:H57">SUM(C58:C59)</f>
        <v>27968</v>
      </c>
      <c r="D57" s="115">
        <f t="shared" si="13"/>
        <v>175084</v>
      </c>
      <c r="E57" s="115">
        <f t="shared" si="13"/>
        <v>0</v>
      </c>
      <c r="F57" s="115">
        <f t="shared" si="13"/>
        <v>0</v>
      </c>
      <c r="G57" s="115">
        <f t="shared" si="13"/>
        <v>75321</v>
      </c>
      <c r="H57" s="115">
        <f t="shared" si="13"/>
        <v>0</v>
      </c>
      <c r="I57" s="29">
        <f t="shared" si="10"/>
        <v>278373</v>
      </c>
      <c r="J57" s="232"/>
      <c r="K57" s="22"/>
      <c r="L57" s="30"/>
      <c r="M57" s="23"/>
    </row>
    <row r="58" spans="1:13" ht="30">
      <c r="A58" s="35" t="s">
        <v>149</v>
      </c>
      <c r="B58" s="32" t="s">
        <v>150</v>
      </c>
      <c r="C58" s="135">
        <v>8608</v>
      </c>
      <c r="D58" s="26">
        <v>175084</v>
      </c>
      <c r="E58" s="26"/>
      <c r="F58" s="26"/>
      <c r="G58" s="27">
        <v>75321</v>
      </c>
      <c r="H58" s="27"/>
      <c r="I58" s="119">
        <f t="shared" si="10"/>
        <v>259013</v>
      </c>
      <c r="J58" s="232"/>
      <c r="K58" s="22"/>
      <c r="L58" s="30"/>
      <c r="M58" s="267"/>
    </row>
    <row r="59" spans="1:13" ht="15">
      <c r="A59" s="35" t="s">
        <v>151</v>
      </c>
      <c r="B59" s="134" t="s">
        <v>152</v>
      </c>
      <c r="C59" s="27">
        <v>19360</v>
      </c>
      <c r="D59" s="27"/>
      <c r="E59" s="27"/>
      <c r="F59" s="26"/>
      <c r="G59" s="33"/>
      <c r="H59" s="27"/>
      <c r="I59" s="119">
        <f t="shared" si="10"/>
        <v>19360</v>
      </c>
      <c r="J59" s="232"/>
      <c r="K59" s="22"/>
      <c r="L59" s="30"/>
      <c r="M59" s="23"/>
    </row>
    <row r="60" spans="1:13" ht="15">
      <c r="A60" s="120" t="s">
        <v>153</v>
      </c>
      <c r="B60" s="122" t="s">
        <v>154</v>
      </c>
      <c r="C60" s="159">
        <f aca="true" t="shared" si="14" ref="C60:H60">SUM(C61:C69)</f>
        <v>455158</v>
      </c>
      <c r="D60" s="159">
        <f t="shared" si="14"/>
        <v>392431</v>
      </c>
      <c r="E60" s="159">
        <f t="shared" si="14"/>
        <v>0</v>
      </c>
      <c r="F60" s="159">
        <f t="shared" si="14"/>
        <v>0</v>
      </c>
      <c r="G60" s="159">
        <f t="shared" si="14"/>
        <v>67653</v>
      </c>
      <c r="H60" s="159">
        <f t="shared" si="14"/>
        <v>0</v>
      </c>
      <c r="I60" s="119">
        <f t="shared" si="10"/>
        <v>915242</v>
      </c>
      <c r="J60" s="232"/>
      <c r="K60" s="22"/>
      <c r="L60" s="30"/>
      <c r="M60" s="23"/>
    </row>
    <row r="61" spans="1:13" ht="15">
      <c r="A61" s="35" t="s">
        <v>155</v>
      </c>
      <c r="B61" s="141" t="s">
        <v>156</v>
      </c>
      <c r="C61" s="160">
        <v>287792</v>
      </c>
      <c r="D61" s="26">
        <v>27522</v>
      </c>
      <c r="E61" s="26"/>
      <c r="F61" s="26"/>
      <c r="G61" s="33"/>
      <c r="H61" s="27"/>
      <c r="I61" s="119">
        <f t="shared" si="10"/>
        <v>315314</v>
      </c>
      <c r="J61" s="232"/>
      <c r="K61" s="22"/>
      <c r="L61" s="30"/>
      <c r="M61" s="23"/>
    </row>
    <row r="62" spans="1:13" ht="15">
      <c r="A62" s="161" t="s">
        <v>157</v>
      </c>
      <c r="B62" s="141" t="s">
        <v>158</v>
      </c>
      <c r="C62" s="162"/>
      <c r="D62" s="26">
        <v>364909</v>
      </c>
      <c r="E62" s="27"/>
      <c r="F62" s="27"/>
      <c r="G62" s="26">
        <v>67653</v>
      </c>
      <c r="H62" s="27"/>
      <c r="I62" s="119">
        <f t="shared" si="10"/>
        <v>432562</v>
      </c>
      <c r="J62" s="232"/>
      <c r="K62" s="22"/>
      <c r="L62" s="30"/>
      <c r="M62" s="23"/>
    </row>
    <row r="63" spans="1:13" ht="15" customHeight="1">
      <c r="A63" s="246" t="s">
        <v>550</v>
      </c>
      <c r="B63" s="141" t="s">
        <v>551</v>
      </c>
      <c r="C63" s="163">
        <v>24233</v>
      </c>
      <c r="D63" s="62"/>
      <c r="E63" s="62"/>
      <c r="F63" s="62"/>
      <c r="G63" s="62"/>
      <c r="H63" s="62"/>
      <c r="I63" s="119">
        <f t="shared" si="10"/>
        <v>24233</v>
      </c>
      <c r="J63" s="232"/>
      <c r="K63" s="22"/>
      <c r="L63" s="30"/>
      <c r="M63" s="23"/>
    </row>
    <row r="64" spans="1:13" ht="15" customHeight="1">
      <c r="A64" s="246" t="s">
        <v>552</v>
      </c>
      <c r="B64" s="141" t="s">
        <v>553</v>
      </c>
      <c r="C64" s="244">
        <v>14650</v>
      </c>
      <c r="D64" s="62"/>
      <c r="E64" s="62"/>
      <c r="F64" s="62"/>
      <c r="G64" s="62"/>
      <c r="H64" s="62"/>
      <c r="I64" s="119">
        <f t="shared" si="10"/>
        <v>14650</v>
      </c>
      <c r="J64" s="232"/>
      <c r="K64" s="22"/>
      <c r="L64" s="30"/>
      <c r="M64" s="23"/>
    </row>
    <row r="65" spans="1:13" ht="15" customHeight="1">
      <c r="A65" s="246" t="s">
        <v>554</v>
      </c>
      <c r="B65" s="141" t="s">
        <v>555</v>
      </c>
      <c r="C65" s="244">
        <v>76136</v>
      </c>
      <c r="D65" s="62"/>
      <c r="E65" s="62"/>
      <c r="F65" s="62"/>
      <c r="G65" s="62"/>
      <c r="H65" s="62"/>
      <c r="I65" s="119">
        <f t="shared" si="10"/>
        <v>76136</v>
      </c>
      <c r="J65" s="232"/>
      <c r="K65" s="22"/>
      <c r="L65" s="30"/>
      <c r="M65" s="23"/>
    </row>
    <row r="66" spans="1:13" ht="15">
      <c r="A66" s="246" t="s">
        <v>556</v>
      </c>
      <c r="B66" s="141" t="s">
        <v>557</v>
      </c>
      <c r="C66" s="244">
        <v>13614</v>
      </c>
      <c r="D66" s="62"/>
      <c r="E66" s="62"/>
      <c r="F66" s="62"/>
      <c r="G66" s="62"/>
      <c r="H66" s="62"/>
      <c r="I66" s="119">
        <f t="shared" si="10"/>
        <v>13614</v>
      </c>
      <c r="J66" s="232"/>
      <c r="K66" s="22"/>
      <c r="L66" s="30"/>
      <c r="M66" s="23"/>
    </row>
    <row r="67" spans="1:13" ht="15" customHeight="1">
      <c r="A67" s="246" t="s">
        <v>558</v>
      </c>
      <c r="B67" s="141" t="s">
        <v>559</v>
      </c>
      <c r="C67" s="244">
        <v>10508</v>
      </c>
      <c r="D67" s="62"/>
      <c r="E67" s="62"/>
      <c r="F67" s="62"/>
      <c r="G67" s="62"/>
      <c r="H67" s="62"/>
      <c r="I67" s="119">
        <f t="shared" si="10"/>
        <v>10508</v>
      </c>
      <c r="J67" s="232"/>
      <c r="K67" s="22"/>
      <c r="L67" s="30"/>
      <c r="M67" s="23"/>
    </row>
    <row r="68" spans="1:13" ht="15" customHeight="1">
      <c r="A68" s="246" t="s">
        <v>560</v>
      </c>
      <c r="B68" s="141" t="s">
        <v>561</v>
      </c>
      <c r="C68" s="244">
        <v>13506</v>
      </c>
      <c r="D68" s="62"/>
      <c r="E68" s="62"/>
      <c r="F68" s="62"/>
      <c r="G68" s="62"/>
      <c r="H68" s="62"/>
      <c r="I68" s="119">
        <f t="shared" si="10"/>
        <v>13506</v>
      </c>
      <c r="J68" s="232"/>
      <c r="K68" s="22"/>
      <c r="L68" s="30"/>
      <c r="M68" s="23"/>
    </row>
    <row r="69" spans="1:13" ht="15" customHeight="1">
      <c r="A69" s="246" t="s">
        <v>562</v>
      </c>
      <c r="B69" s="141" t="s">
        <v>563</v>
      </c>
      <c r="C69" s="244">
        <v>14719</v>
      </c>
      <c r="D69" s="62"/>
      <c r="E69" s="62"/>
      <c r="F69" s="62"/>
      <c r="G69" s="62"/>
      <c r="H69" s="62"/>
      <c r="I69" s="119">
        <f>SUM(C69:H69)</f>
        <v>14719</v>
      </c>
      <c r="J69" s="232"/>
      <c r="K69" s="22"/>
      <c r="L69" s="30"/>
      <c r="M69" s="23"/>
    </row>
    <row r="70" spans="1:13" s="5" customFormat="1" ht="29.25">
      <c r="A70" s="120" t="s">
        <v>159</v>
      </c>
      <c r="B70" s="153" t="s">
        <v>160</v>
      </c>
      <c r="C70" s="164">
        <f aca="true" t="shared" si="15" ref="C70:H70">SUM(C71:C71)</f>
        <v>223572</v>
      </c>
      <c r="D70" s="164">
        <f t="shared" si="15"/>
        <v>0</v>
      </c>
      <c r="E70" s="164">
        <f t="shared" si="15"/>
        <v>0</v>
      </c>
      <c r="F70" s="164">
        <f t="shared" si="15"/>
        <v>0</v>
      </c>
      <c r="G70" s="164">
        <f t="shared" si="15"/>
        <v>0</v>
      </c>
      <c r="H70" s="164">
        <f t="shared" si="15"/>
        <v>0</v>
      </c>
      <c r="I70" s="119">
        <f t="shared" si="10"/>
        <v>223572</v>
      </c>
      <c r="J70" s="232"/>
      <c r="K70" s="22"/>
      <c r="L70" s="30"/>
      <c r="M70" s="23"/>
    </row>
    <row r="71" spans="1:13" s="5" customFormat="1" ht="45">
      <c r="A71" s="151" t="s">
        <v>161</v>
      </c>
      <c r="B71" s="165" t="s">
        <v>162</v>
      </c>
      <c r="C71" s="244">
        <v>223572</v>
      </c>
      <c r="D71" s="115"/>
      <c r="E71" s="115"/>
      <c r="F71" s="115"/>
      <c r="G71" s="115"/>
      <c r="H71" s="80"/>
      <c r="I71" s="119">
        <f t="shared" si="10"/>
        <v>223572</v>
      </c>
      <c r="J71" s="232"/>
      <c r="K71" s="22"/>
      <c r="L71" s="166"/>
      <c r="M71" s="23"/>
    </row>
    <row r="72" spans="1:13" ht="29.25">
      <c r="A72" s="113" t="s">
        <v>163</v>
      </c>
      <c r="B72" s="153" t="s">
        <v>164</v>
      </c>
      <c r="C72" s="164">
        <f aca="true" t="shared" si="16" ref="C72:I72">SUM(C73:C73)</f>
        <v>18844</v>
      </c>
      <c r="D72" s="164">
        <f t="shared" si="16"/>
        <v>0</v>
      </c>
      <c r="E72" s="164">
        <f t="shared" si="16"/>
        <v>0</v>
      </c>
      <c r="F72" s="164">
        <f t="shared" si="16"/>
        <v>0</v>
      </c>
      <c r="G72" s="164">
        <f t="shared" si="16"/>
        <v>0</v>
      </c>
      <c r="H72" s="164">
        <f t="shared" si="16"/>
        <v>0</v>
      </c>
      <c r="I72" s="270">
        <f t="shared" si="16"/>
        <v>18844</v>
      </c>
      <c r="J72" s="232"/>
      <c r="K72" s="22"/>
      <c r="L72" s="30"/>
      <c r="M72" s="23"/>
    </row>
    <row r="73" spans="1:13" ht="15" customHeight="1" thickBot="1">
      <c r="A73" s="35" t="s">
        <v>165</v>
      </c>
      <c r="B73" s="148" t="s">
        <v>164</v>
      </c>
      <c r="C73" s="163">
        <v>18844</v>
      </c>
      <c r="D73" s="164"/>
      <c r="E73" s="164"/>
      <c r="F73" s="164"/>
      <c r="G73" s="164"/>
      <c r="H73" s="164"/>
      <c r="I73" s="119">
        <f>SUM(C73:H73)</f>
        <v>18844</v>
      </c>
      <c r="J73" s="232"/>
      <c r="K73" s="22"/>
      <c r="L73" s="30"/>
      <c r="M73" s="23"/>
    </row>
    <row r="74" spans="1:13" ht="30" thickBot="1">
      <c r="A74" s="68" t="s">
        <v>166</v>
      </c>
      <c r="B74" s="158" t="s">
        <v>167</v>
      </c>
      <c r="C74" s="167">
        <f aca="true" t="shared" si="17" ref="C74:H74">SUM(C75:C89)</f>
        <v>14284995</v>
      </c>
      <c r="D74" s="167">
        <f t="shared" si="17"/>
        <v>2857603</v>
      </c>
      <c r="E74" s="167">
        <f t="shared" si="17"/>
        <v>0</v>
      </c>
      <c r="F74" s="167">
        <f t="shared" si="17"/>
        <v>0</v>
      </c>
      <c r="G74" s="167">
        <f t="shared" si="17"/>
        <v>429823</v>
      </c>
      <c r="H74" s="167">
        <f t="shared" si="17"/>
        <v>0</v>
      </c>
      <c r="I74" s="54">
        <f t="shared" si="10"/>
        <v>17572421</v>
      </c>
      <c r="J74" s="232"/>
      <c r="K74" s="22"/>
      <c r="L74" s="23"/>
      <c r="M74" s="23"/>
    </row>
    <row r="75" spans="1:13" ht="15">
      <c r="A75" s="113" t="s">
        <v>168</v>
      </c>
      <c r="B75" s="153" t="s">
        <v>169</v>
      </c>
      <c r="C75" s="168"/>
      <c r="D75" s="61"/>
      <c r="E75" s="62"/>
      <c r="F75" s="62"/>
      <c r="G75" s="61"/>
      <c r="H75" s="62"/>
      <c r="I75" s="29">
        <f t="shared" si="10"/>
        <v>0</v>
      </c>
      <c r="J75" s="232"/>
      <c r="K75" s="22"/>
      <c r="L75" s="30"/>
      <c r="M75" s="23"/>
    </row>
    <row r="76" spans="1:13" ht="15">
      <c r="A76" s="140" t="s">
        <v>170</v>
      </c>
      <c r="B76" s="148" t="s">
        <v>171</v>
      </c>
      <c r="C76" s="168"/>
      <c r="D76" s="61"/>
      <c r="E76" s="62"/>
      <c r="F76" s="62"/>
      <c r="G76" s="61"/>
      <c r="H76" s="27"/>
      <c r="I76" s="119">
        <f t="shared" si="10"/>
        <v>0</v>
      </c>
      <c r="J76" s="232"/>
      <c r="K76" s="22"/>
      <c r="L76" s="30"/>
      <c r="M76" s="23"/>
    </row>
    <row r="77" spans="1:13" ht="15">
      <c r="A77" s="120" t="s">
        <v>172</v>
      </c>
      <c r="B77" s="122" t="s">
        <v>173</v>
      </c>
      <c r="C77" s="159">
        <v>142728</v>
      </c>
      <c r="D77" s="26"/>
      <c r="E77" s="27"/>
      <c r="F77" s="27"/>
      <c r="G77" s="26"/>
      <c r="H77" s="27"/>
      <c r="I77" s="119">
        <f t="shared" si="10"/>
        <v>142728</v>
      </c>
      <c r="J77" s="232"/>
      <c r="K77" s="22"/>
      <c r="L77" s="30"/>
      <c r="M77" s="23"/>
    </row>
    <row r="78" spans="1:13" ht="15">
      <c r="A78" s="120" t="s">
        <v>174</v>
      </c>
      <c r="B78" s="122" t="s">
        <v>175</v>
      </c>
      <c r="C78" s="160"/>
      <c r="D78" s="26">
        <v>428055</v>
      </c>
      <c r="E78" s="26"/>
      <c r="F78" s="26"/>
      <c r="G78" s="33">
        <v>31225</v>
      </c>
      <c r="H78" s="27"/>
      <c r="I78" s="119">
        <f t="shared" si="10"/>
        <v>459280</v>
      </c>
      <c r="J78" s="232"/>
      <c r="K78" s="22"/>
      <c r="L78" s="30"/>
      <c r="M78" s="23"/>
    </row>
    <row r="79" spans="1:13" ht="15">
      <c r="A79" s="35" t="s">
        <v>176</v>
      </c>
      <c r="B79" s="141" t="s">
        <v>177</v>
      </c>
      <c r="C79" s="160"/>
      <c r="D79" s="26"/>
      <c r="E79" s="26"/>
      <c r="F79" s="26"/>
      <c r="G79" s="33"/>
      <c r="H79" s="27"/>
      <c r="I79" s="119">
        <f t="shared" si="10"/>
        <v>0</v>
      </c>
      <c r="J79" s="232"/>
      <c r="K79" s="22"/>
      <c r="L79" s="30"/>
      <c r="M79" s="23"/>
    </row>
    <row r="80" spans="1:13" ht="15">
      <c r="A80" s="145" t="s">
        <v>564</v>
      </c>
      <c r="B80" s="141" t="s">
        <v>571</v>
      </c>
      <c r="C80" s="160">
        <v>27257</v>
      </c>
      <c r="D80" s="26"/>
      <c r="E80" s="26"/>
      <c r="F80" s="26"/>
      <c r="G80" s="39"/>
      <c r="H80" s="27"/>
      <c r="I80" s="119">
        <f t="shared" si="10"/>
        <v>27257</v>
      </c>
      <c r="J80" s="232"/>
      <c r="K80" s="22"/>
      <c r="L80" s="30"/>
      <c r="M80" s="23"/>
    </row>
    <row r="81" spans="1:13" ht="15">
      <c r="A81" s="145" t="s">
        <v>565</v>
      </c>
      <c r="B81" s="141" t="s">
        <v>572</v>
      </c>
      <c r="C81" s="160">
        <v>59934</v>
      </c>
      <c r="D81" s="26"/>
      <c r="E81" s="26"/>
      <c r="F81" s="26"/>
      <c r="G81" s="39"/>
      <c r="H81" s="27"/>
      <c r="I81" s="119">
        <f t="shared" si="10"/>
        <v>59934</v>
      </c>
      <c r="J81" s="232"/>
      <c r="K81" s="22"/>
      <c r="L81" s="30"/>
      <c r="M81" s="267"/>
    </row>
    <row r="82" spans="1:13" ht="15">
      <c r="A82" s="145" t="s">
        <v>566</v>
      </c>
      <c r="B82" s="141" t="s">
        <v>573</v>
      </c>
      <c r="C82" s="160">
        <v>49492</v>
      </c>
      <c r="D82" s="26"/>
      <c r="E82" s="26"/>
      <c r="F82" s="26"/>
      <c r="G82" s="39"/>
      <c r="H82" s="27"/>
      <c r="I82" s="119">
        <f t="shared" si="10"/>
        <v>49492</v>
      </c>
      <c r="J82" s="232"/>
      <c r="K82" s="22"/>
      <c r="L82" s="30"/>
      <c r="M82" s="23"/>
    </row>
    <row r="83" spans="1:13" ht="15">
      <c r="A83" s="145" t="s">
        <v>567</v>
      </c>
      <c r="B83" s="141" t="s">
        <v>574</v>
      </c>
      <c r="C83" s="160">
        <v>22443</v>
      </c>
      <c r="D83" s="26"/>
      <c r="E83" s="26"/>
      <c r="F83" s="26"/>
      <c r="G83" s="39"/>
      <c r="H83" s="27"/>
      <c r="I83" s="119">
        <f t="shared" si="10"/>
        <v>22443</v>
      </c>
      <c r="J83" s="232"/>
      <c r="K83" s="22"/>
      <c r="L83" s="30"/>
      <c r="M83" s="23"/>
    </row>
    <row r="84" spans="1:13" ht="15">
      <c r="A84" s="145" t="s">
        <v>568</v>
      </c>
      <c r="B84" s="141" t="s">
        <v>575</v>
      </c>
      <c r="C84" s="160">
        <v>9580</v>
      </c>
      <c r="D84" s="26"/>
      <c r="E84" s="26"/>
      <c r="F84" s="26"/>
      <c r="G84" s="39"/>
      <c r="H84" s="27"/>
      <c r="I84" s="119">
        <f t="shared" si="10"/>
        <v>9580</v>
      </c>
      <c r="J84" s="232"/>
      <c r="K84" s="22"/>
      <c r="L84" s="30"/>
      <c r="M84" s="23"/>
    </row>
    <row r="85" spans="1:13" ht="15">
      <c r="A85" s="145" t="s">
        <v>569</v>
      </c>
      <c r="B85" s="141" t="s">
        <v>576</v>
      </c>
      <c r="C85" s="160">
        <v>12540</v>
      </c>
      <c r="D85" s="26"/>
      <c r="E85" s="26"/>
      <c r="F85" s="26"/>
      <c r="G85" s="39"/>
      <c r="H85" s="27"/>
      <c r="I85" s="119">
        <f t="shared" si="10"/>
        <v>12540</v>
      </c>
      <c r="J85" s="232"/>
      <c r="K85" s="22"/>
      <c r="L85" s="30"/>
      <c r="M85" s="267"/>
    </row>
    <row r="86" spans="1:13" ht="15">
      <c r="A86" s="145" t="s">
        <v>570</v>
      </c>
      <c r="B86" s="141" t="s">
        <v>577</v>
      </c>
      <c r="C86" s="160">
        <v>10150</v>
      </c>
      <c r="D86" s="26"/>
      <c r="E86" s="26"/>
      <c r="F86" s="26"/>
      <c r="G86" s="39"/>
      <c r="H86" s="27"/>
      <c r="I86" s="119">
        <f t="shared" si="10"/>
        <v>10150</v>
      </c>
      <c r="J86" s="232"/>
      <c r="K86" s="22"/>
      <c r="L86" s="30"/>
      <c r="M86" s="23"/>
    </row>
    <row r="87" spans="1:13" ht="15">
      <c r="A87" s="145" t="s">
        <v>516</v>
      </c>
      <c r="B87" s="141" t="s">
        <v>178</v>
      </c>
      <c r="C87" s="160">
        <v>1001948</v>
      </c>
      <c r="D87" s="26"/>
      <c r="E87" s="26"/>
      <c r="F87" s="26"/>
      <c r="G87" s="27"/>
      <c r="H87" s="27"/>
      <c r="I87" s="119">
        <f aca="true" t="shared" si="18" ref="I87:I123">SUM(C87:H87)</f>
        <v>1001948</v>
      </c>
      <c r="J87" s="232"/>
      <c r="K87" s="22"/>
      <c r="L87" s="30"/>
      <c r="M87" s="23"/>
    </row>
    <row r="88" spans="1:13" ht="15">
      <c r="A88" s="145" t="s">
        <v>513</v>
      </c>
      <c r="B88" s="141" t="s">
        <v>529</v>
      </c>
      <c r="C88" s="160">
        <v>220000</v>
      </c>
      <c r="D88" s="27"/>
      <c r="E88" s="27"/>
      <c r="F88" s="27"/>
      <c r="G88" s="27"/>
      <c r="H88" s="27"/>
      <c r="I88" s="119">
        <f t="shared" si="18"/>
        <v>220000</v>
      </c>
      <c r="J88" s="232"/>
      <c r="K88" s="22"/>
      <c r="L88" s="30"/>
      <c r="M88" s="23"/>
    </row>
    <row r="89" spans="1:13" ht="43.5">
      <c r="A89" s="120" t="s">
        <v>179</v>
      </c>
      <c r="B89" s="122" t="s">
        <v>180</v>
      </c>
      <c r="C89" s="169">
        <f aca="true" t="shared" si="19" ref="C89:H89">SUM(C90:C123)</f>
        <v>12728923</v>
      </c>
      <c r="D89" s="159">
        <f t="shared" si="19"/>
        <v>2429548</v>
      </c>
      <c r="E89" s="159">
        <f t="shared" si="19"/>
        <v>0</v>
      </c>
      <c r="F89" s="159">
        <f t="shared" si="19"/>
        <v>0</v>
      </c>
      <c r="G89" s="159">
        <f t="shared" si="19"/>
        <v>398598</v>
      </c>
      <c r="H89" s="159">
        <f t="shared" si="19"/>
        <v>0</v>
      </c>
      <c r="I89" s="119">
        <f t="shared" si="18"/>
        <v>15557069</v>
      </c>
      <c r="J89" s="232"/>
      <c r="K89" s="22"/>
      <c r="L89" s="30"/>
      <c r="M89" s="23"/>
    </row>
    <row r="90" spans="1:13" ht="15">
      <c r="A90" s="35" t="s">
        <v>181</v>
      </c>
      <c r="B90" s="141" t="s">
        <v>182</v>
      </c>
      <c r="C90" s="170"/>
      <c r="D90" s="26">
        <v>2386594</v>
      </c>
      <c r="E90" s="26"/>
      <c r="F90" s="26"/>
      <c r="G90" s="83">
        <v>138580</v>
      </c>
      <c r="H90" s="27"/>
      <c r="I90" s="119">
        <f t="shared" si="18"/>
        <v>2525174</v>
      </c>
      <c r="J90" s="232"/>
      <c r="K90" s="22"/>
      <c r="L90" s="30"/>
      <c r="M90" s="23"/>
    </row>
    <row r="91" spans="1:13" ht="15">
      <c r="A91" s="35" t="s">
        <v>183</v>
      </c>
      <c r="B91" s="141" t="s">
        <v>184</v>
      </c>
      <c r="C91" s="170"/>
      <c r="D91" s="26"/>
      <c r="E91" s="26"/>
      <c r="F91" s="26"/>
      <c r="G91" s="83">
        <v>260018</v>
      </c>
      <c r="H91" s="27"/>
      <c r="I91" s="119">
        <f t="shared" si="18"/>
        <v>260018</v>
      </c>
      <c r="J91" s="232"/>
      <c r="K91" s="22"/>
      <c r="L91" s="30"/>
      <c r="M91" s="23"/>
    </row>
    <row r="92" spans="1:13" ht="15">
      <c r="A92" s="35" t="s">
        <v>185</v>
      </c>
      <c r="B92" s="141" t="s">
        <v>186</v>
      </c>
      <c r="C92" s="162">
        <f>17609</f>
        <v>17609</v>
      </c>
      <c r="D92" s="26">
        <v>42954</v>
      </c>
      <c r="E92" s="27"/>
      <c r="F92" s="27"/>
      <c r="G92" s="27"/>
      <c r="H92" s="27"/>
      <c r="I92" s="119">
        <f t="shared" si="18"/>
        <v>60563</v>
      </c>
      <c r="J92" s="232"/>
      <c r="K92" s="22"/>
      <c r="L92" s="30"/>
      <c r="M92" s="23"/>
    </row>
    <row r="93" spans="1:13" ht="30">
      <c r="A93" s="35" t="s">
        <v>187</v>
      </c>
      <c r="B93" s="141" t="s">
        <v>188</v>
      </c>
      <c r="C93" s="163">
        <v>87300</v>
      </c>
      <c r="D93" s="26"/>
      <c r="E93" s="27"/>
      <c r="F93" s="27"/>
      <c r="G93" s="26"/>
      <c r="H93" s="27"/>
      <c r="I93" s="119">
        <f t="shared" si="18"/>
        <v>87300</v>
      </c>
      <c r="J93" s="232"/>
      <c r="K93" s="22"/>
      <c r="L93" s="30"/>
      <c r="M93" s="23"/>
    </row>
    <row r="94" spans="1:13" ht="30">
      <c r="A94" s="35" t="s">
        <v>189</v>
      </c>
      <c r="B94" s="148" t="s">
        <v>190</v>
      </c>
      <c r="C94" s="244">
        <v>80000</v>
      </c>
      <c r="D94" s="26"/>
      <c r="E94" s="27"/>
      <c r="F94" s="27"/>
      <c r="G94" s="27"/>
      <c r="H94" s="27"/>
      <c r="I94" s="119">
        <f t="shared" si="18"/>
        <v>80000</v>
      </c>
      <c r="J94" s="232"/>
      <c r="K94" s="22"/>
      <c r="L94" s="30"/>
      <c r="M94" s="23"/>
    </row>
    <row r="95" spans="1:13" ht="15">
      <c r="A95" s="35" t="s">
        <v>191</v>
      </c>
      <c r="B95" s="171" t="s">
        <v>192</v>
      </c>
      <c r="C95" s="160">
        <v>35000</v>
      </c>
      <c r="D95" s="27"/>
      <c r="E95" s="27"/>
      <c r="F95" s="27"/>
      <c r="G95" s="27"/>
      <c r="H95" s="27"/>
      <c r="I95" s="119">
        <f t="shared" si="18"/>
        <v>35000</v>
      </c>
      <c r="J95" s="232"/>
      <c r="K95" s="22"/>
      <c r="L95" s="30"/>
      <c r="M95" s="23"/>
    </row>
    <row r="96" spans="1:13" ht="17.25" customHeight="1">
      <c r="A96" s="35" t="s">
        <v>193</v>
      </c>
      <c r="B96" s="141" t="s">
        <v>194</v>
      </c>
      <c r="C96" s="172">
        <v>6000</v>
      </c>
      <c r="D96" s="26"/>
      <c r="E96" s="27"/>
      <c r="F96" s="27"/>
      <c r="G96" s="26"/>
      <c r="H96" s="27"/>
      <c r="I96" s="119">
        <f t="shared" si="18"/>
        <v>6000</v>
      </c>
      <c r="J96" s="232"/>
      <c r="K96" s="22"/>
      <c r="L96" s="30"/>
      <c r="M96" s="23"/>
    </row>
    <row r="97" spans="1:13" ht="15">
      <c r="A97" s="173" t="s">
        <v>195</v>
      </c>
      <c r="B97" s="174" t="s">
        <v>196</v>
      </c>
      <c r="C97" s="241">
        <v>552993</v>
      </c>
      <c r="D97" s="26"/>
      <c r="E97" s="26"/>
      <c r="F97" s="26"/>
      <c r="G97" s="26"/>
      <c r="H97" s="27"/>
      <c r="I97" s="119">
        <f t="shared" si="18"/>
        <v>552993</v>
      </c>
      <c r="J97" s="232"/>
      <c r="K97" s="22"/>
      <c r="L97" s="30"/>
      <c r="M97" s="23"/>
    </row>
    <row r="98" spans="1:13" ht="15">
      <c r="A98" s="173" t="s">
        <v>197</v>
      </c>
      <c r="B98" s="174" t="s">
        <v>198</v>
      </c>
      <c r="C98" s="241">
        <v>236954</v>
      </c>
      <c r="D98" s="26"/>
      <c r="E98" s="26"/>
      <c r="F98" s="26"/>
      <c r="G98" s="26"/>
      <c r="H98" s="27"/>
      <c r="I98" s="119">
        <f t="shared" si="18"/>
        <v>236954</v>
      </c>
      <c r="J98" s="232"/>
      <c r="K98" s="22"/>
      <c r="L98" s="30"/>
      <c r="M98" s="23"/>
    </row>
    <row r="99" spans="1:13" ht="15">
      <c r="A99" s="173" t="s">
        <v>199</v>
      </c>
      <c r="B99" s="174" t="s">
        <v>200</v>
      </c>
      <c r="C99" s="241">
        <v>200923</v>
      </c>
      <c r="D99" s="26"/>
      <c r="E99" s="26"/>
      <c r="F99" s="26"/>
      <c r="G99" s="26"/>
      <c r="H99" s="27"/>
      <c r="I99" s="119">
        <f t="shared" si="18"/>
        <v>200923</v>
      </c>
      <c r="J99" s="232"/>
      <c r="K99" s="22"/>
      <c r="L99" s="30"/>
      <c r="M99" s="23"/>
    </row>
    <row r="100" spans="1:13" ht="15">
      <c r="A100" s="173" t="s">
        <v>201</v>
      </c>
      <c r="B100" s="174" t="s">
        <v>202</v>
      </c>
      <c r="C100" s="241">
        <v>485210</v>
      </c>
      <c r="D100" s="26"/>
      <c r="E100" s="26"/>
      <c r="F100" s="26"/>
      <c r="G100" s="26"/>
      <c r="H100" s="27"/>
      <c r="I100" s="119">
        <f t="shared" si="18"/>
        <v>485210</v>
      </c>
      <c r="J100" s="232"/>
      <c r="K100" s="22"/>
      <c r="L100" s="30"/>
      <c r="M100" s="23"/>
    </row>
    <row r="101" spans="1:13" ht="15">
      <c r="A101" s="173" t="s">
        <v>203</v>
      </c>
      <c r="B101" s="174" t="s">
        <v>204</v>
      </c>
      <c r="C101" s="242">
        <v>653398</v>
      </c>
      <c r="D101" s="26"/>
      <c r="E101" s="26"/>
      <c r="F101" s="26"/>
      <c r="G101" s="26"/>
      <c r="H101" s="27"/>
      <c r="I101" s="119">
        <f t="shared" si="18"/>
        <v>653398</v>
      </c>
      <c r="J101" s="232"/>
      <c r="K101" s="22"/>
      <c r="L101" s="30"/>
      <c r="M101" s="23"/>
    </row>
    <row r="102" spans="1:13" ht="15">
      <c r="A102" s="173" t="s">
        <v>205</v>
      </c>
      <c r="B102" s="174" t="s">
        <v>206</v>
      </c>
      <c r="C102" s="242">
        <v>139212</v>
      </c>
      <c r="D102" s="26"/>
      <c r="E102" s="26"/>
      <c r="F102" s="26"/>
      <c r="G102" s="26"/>
      <c r="H102" s="27"/>
      <c r="I102" s="119">
        <f t="shared" si="18"/>
        <v>139212</v>
      </c>
      <c r="J102" s="232"/>
      <c r="K102" s="22"/>
      <c r="L102" s="30"/>
      <c r="M102" s="23"/>
    </row>
    <row r="103" spans="1:13" ht="15">
      <c r="A103" s="173" t="s">
        <v>207</v>
      </c>
      <c r="B103" s="174" t="s">
        <v>208</v>
      </c>
      <c r="C103" s="172">
        <v>143770</v>
      </c>
      <c r="D103" s="26"/>
      <c r="E103" s="26"/>
      <c r="F103" s="26"/>
      <c r="G103" s="26"/>
      <c r="H103" s="27"/>
      <c r="I103" s="119">
        <f t="shared" si="18"/>
        <v>143770</v>
      </c>
      <c r="J103" s="232"/>
      <c r="K103" s="22"/>
      <c r="L103" s="30"/>
      <c r="M103" s="23"/>
    </row>
    <row r="104" spans="1:13" ht="15">
      <c r="A104" s="173" t="s">
        <v>209</v>
      </c>
      <c r="B104" s="174" t="s">
        <v>210</v>
      </c>
      <c r="C104" s="241">
        <v>508910</v>
      </c>
      <c r="D104" s="26"/>
      <c r="E104" s="26"/>
      <c r="F104" s="26"/>
      <c r="G104" s="26"/>
      <c r="H104" s="27"/>
      <c r="I104" s="119">
        <f t="shared" si="18"/>
        <v>508910</v>
      </c>
      <c r="J104" s="232"/>
      <c r="K104" s="22"/>
      <c r="L104" s="30"/>
      <c r="M104" s="23"/>
    </row>
    <row r="105" spans="1:13" ht="15">
      <c r="A105" s="173" t="s">
        <v>211</v>
      </c>
      <c r="B105" s="174" t="s">
        <v>661</v>
      </c>
      <c r="C105" s="241">
        <f>652036+57259</f>
        <v>709295</v>
      </c>
      <c r="D105" s="26"/>
      <c r="E105" s="26"/>
      <c r="F105" s="26"/>
      <c r="G105" s="26"/>
      <c r="H105" s="27"/>
      <c r="I105" s="119">
        <f t="shared" si="18"/>
        <v>709295</v>
      </c>
      <c r="J105" s="232"/>
      <c r="K105" s="22"/>
      <c r="L105" s="30"/>
      <c r="M105" s="23"/>
    </row>
    <row r="106" spans="1:13" ht="15">
      <c r="A106" s="173" t="s">
        <v>578</v>
      </c>
      <c r="B106" s="147" t="s">
        <v>586</v>
      </c>
      <c r="C106" s="162">
        <v>231787</v>
      </c>
      <c r="D106" s="27"/>
      <c r="E106" s="27"/>
      <c r="F106" s="27"/>
      <c r="G106" s="26"/>
      <c r="H106" s="27"/>
      <c r="I106" s="119">
        <f t="shared" si="18"/>
        <v>231787</v>
      </c>
      <c r="J106" s="232"/>
      <c r="K106" s="22"/>
      <c r="L106" s="30"/>
      <c r="M106" s="267"/>
    </row>
    <row r="107" spans="1:13" ht="15">
      <c r="A107" s="173" t="s">
        <v>579</v>
      </c>
      <c r="B107" s="147" t="s">
        <v>587</v>
      </c>
      <c r="C107" s="162">
        <f>271758-1155</f>
        <v>270603</v>
      </c>
      <c r="D107" s="27"/>
      <c r="E107" s="27"/>
      <c r="F107" s="27"/>
      <c r="G107" s="26"/>
      <c r="H107" s="27"/>
      <c r="I107" s="119">
        <f t="shared" si="18"/>
        <v>270603</v>
      </c>
      <c r="J107" s="232"/>
      <c r="K107" s="22"/>
      <c r="L107" s="30"/>
      <c r="M107" s="23"/>
    </row>
    <row r="108" spans="1:13" ht="15">
      <c r="A108" s="173" t="s">
        <v>580</v>
      </c>
      <c r="B108" s="147" t="s">
        <v>588</v>
      </c>
      <c r="C108" s="162">
        <f>329269+1000</f>
        <v>330269</v>
      </c>
      <c r="D108" s="27"/>
      <c r="E108" s="27"/>
      <c r="F108" s="27"/>
      <c r="G108" s="26"/>
      <c r="H108" s="27"/>
      <c r="I108" s="119">
        <f t="shared" si="18"/>
        <v>330269</v>
      </c>
      <c r="J108" s="232"/>
      <c r="K108" s="22"/>
      <c r="L108" s="30"/>
      <c r="M108" s="267"/>
    </row>
    <row r="109" spans="1:13" ht="15">
      <c r="A109" s="173" t="s">
        <v>581</v>
      </c>
      <c r="B109" s="147" t="s">
        <v>589</v>
      </c>
      <c r="C109" s="162">
        <f>536935+4131</f>
        <v>541066</v>
      </c>
      <c r="D109" s="27"/>
      <c r="E109" s="27"/>
      <c r="F109" s="27"/>
      <c r="G109" s="26"/>
      <c r="H109" s="27"/>
      <c r="I109" s="119">
        <f t="shared" si="18"/>
        <v>541066</v>
      </c>
      <c r="J109" s="232"/>
      <c r="K109" s="22"/>
      <c r="L109" s="30"/>
      <c r="M109" s="23"/>
    </row>
    <row r="110" spans="1:13" ht="15">
      <c r="A110" s="173" t="s">
        <v>582</v>
      </c>
      <c r="B110" s="147" t="s">
        <v>590</v>
      </c>
      <c r="C110" s="160">
        <v>239829</v>
      </c>
      <c r="D110" s="27"/>
      <c r="E110" s="27"/>
      <c r="F110" s="27"/>
      <c r="G110" s="26"/>
      <c r="H110" s="27"/>
      <c r="I110" s="119">
        <f t="shared" si="18"/>
        <v>239829</v>
      </c>
      <c r="J110" s="232"/>
      <c r="K110" s="22"/>
      <c r="L110" s="30"/>
      <c r="M110" s="23"/>
    </row>
    <row r="111" spans="1:13" ht="15">
      <c r="A111" s="173" t="s">
        <v>583</v>
      </c>
      <c r="B111" s="147" t="s">
        <v>591</v>
      </c>
      <c r="C111" s="160">
        <v>200042</v>
      </c>
      <c r="D111" s="27"/>
      <c r="E111" s="27"/>
      <c r="F111" s="27"/>
      <c r="G111" s="26"/>
      <c r="H111" s="27"/>
      <c r="I111" s="119">
        <f t="shared" si="18"/>
        <v>200042</v>
      </c>
      <c r="J111" s="232"/>
      <c r="K111" s="22"/>
      <c r="L111" s="30"/>
      <c r="M111" s="23"/>
    </row>
    <row r="112" spans="1:13" ht="15">
      <c r="A112" s="173" t="s">
        <v>584</v>
      </c>
      <c r="B112" s="147" t="s">
        <v>592</v>
      </c>
      <c r="C112" s="160">
        <v>181364</v>
      </c>
      <c r="D112" s="27"/>
      <c r="E112" s="27"/>
      <c r="F112" s="27"/>
      <c r="G112" s="26"/>
      <c r="H112" s="27"/>
      <c r="I112" s="119">
        <f t="shared" si="18"/>
        <v>181364</v>
      </c>
      <c r="J112" s="232"/>
      <c r="K112" s="22"/>
      <c r="L112" s="30"/>
      <c r="M112" s="267"/>
    </row>
    <row r="113" spans="1:13" ht="15">
      <c r="A113" s="173" t="s">
        <v>585</v>
      </c>
      <c r="B113" s="147" t="s">
        <v>593</v>
      </c>
      <c r="C113" s="162">
        <f>211141</f>
        <v>211141</v>
      </c>
      <c r="D113" s="27"/>
      <c r="E113" s="27"/>
      <c r="F113" s="27"/>
      <c r="G113" s="26"/>
      <c r="H113" s="27"/>
      <c r="I113" s="119">
        <f t="shared" si="18"/>
        <v>211141</v>
      </c>
      <c r="J113" s="232"/>
      <c r="K113" s="22"/>
      <c r="L113" s="30"/>
      <c r="M113" s="23"/>
    </row>
    <row r="114" spans="1:13" ht="30">
      <c r="A114" s="151" t="s">
        <v>212</v>
      </c>
      <c r="B114" s="175" t="s">
        <v>213</v>
      </c>
      <c r="C114" s="160">
        <v>1901843</v>
      </c>
      <c r="D114" s="27"/>
      <c r="E114" s="27"/>
      <c r="F114" s="27"/>
      <c r="G114" s="26"/>
      <c r="H114" s="27"/>
      <c r="I114" s="119">
        <f t="shared" si="18"/>
        <v>1901843</v>
      </c>
      <c r="J114" s="232"/>
      <c r="K114" s="22"/>
      <c r="L114" s="30"/>
      <c r="M114" s="23"/>
    </row>
    <row r="115" spans="1:13" ht="30">
      <c r="A115" s="155" t="s">
        <v>214</v>
      </c>
      <c r="B115" s="176" t="s">
        <v>215</v>
      </c>
      <c r="C115" s="241">
        <v>1124886</v>
      </c>
      <c r="D115" s="27"/>
      <c r="E115" s="27"/>
      <c r="F115" s="27"/>
      <c r="G115" s="26"/>
      <c r="H115" s="27"/>
      <c r="I115" s="119">
        <f t="shared" si="18"/>
        <v>1124886</v>
      </c>
      <c r="J115" s="232"/>
      <c r="K115" s="22"/>
      <c r="L115" s="30"/>
      <c r="M115" s="177"/>
    </row>
    <row r="116" spans="1:13" ht="30">
      <c r="A116" s="155" t="s">
        <v>216</v>
      </c>
      <c r="B116" s="178" t="s">
        <v>217</v>
      </c>
      <c r="C116" s="241">
        <f>401435-15435</f>
        <v>386000</v>
      </c>
      <c r="D116" s="27"/>
      <c r="E116" s="27"/>
      <c r="F116" s="27"/>
      <c r="G116" s="26"/>
      <c r="H116" s="27"/>
      <c r="I116" s="119">
        <f t="shared" si="18"/>
        <v>386000</v>
      </c>
      <c r="J116" s="232"/>
      <c r="K116" s="22"/>
      <c r="L116" s="30"/>
      <c r="M116" s="23"/>
    </row>
    <row r="117" spans="1:13" ht="30">
      <c r="A117" s="155" t="s">
        <v>218</v>
      </c>
      <c r="B117" s="178" t="s">
        <v>219</v>
      </c>
      <c r="C117" s="241">
        <v>414266</v>
      </c>
      <c r="D117" s="27"/>
      <c r="E117" s="27"/>
      <c r="F117" s="27"/>
      <c r="G117" s="26"/>
      <c r="H117" s="27"/>
      <c r="I117" s="119">
        <f t="shared" si="18"/>
        <v>414266</v>
      </c>
      <c r="J117" s="232"/>
      <c r="K117" s="22"/>
      <c r="L117" s="30"/>
      <c r="M117" s="23"/>
    </row>
    <row r="118" spans="1:13" ht="60">
      <c r="A118" s="151" t="s">
        <v>671</v>
      </c>
      <c r="B118" s="179" t="s">
        <v>673</v>
      </c>
      <c r="C118" s="172">
        <v>237105</v>
      </c>
      <c r="D118" s="26"/>
      <c r="E118" s="26"/>
      <c r="F118" s="26"/>
      <c r="G118" s="26"/>
      <c r="H118" s="27"/>
      <c r="I118" s="119">
        <f>SUM(C118:H118)</f>
        <v>237105</v>
      </c>
      <c r="J118" s="232"/>
      <c r="K118" s="22"/>
      <c r="L118" s="30"/>
      <c r="M118" s="23"/>
    </row>
    <row r="119" spans="1:13" ht="60">
      <c r="A119" s="151" t="s">
        <v>672</v>
      </c>
      <c r="B119" s="179" t="s">
        <v>674</v>
      </c>
      <c r="C119" s="172">
        <v>604414</v>
      </c>
      <c r="D119" s="26"/>
      <c r="E119" s="26"/>
      <c r="F119" s="26"/>
      <c r="G119" s="26"/>
      <c r="H119" s="27"/>
      <c r="I119" s="119">
        <f>SUM(C119:H119)</f>
        <v>604414</v>
      </c>
      <c r="J119" s="232"/>
      <c r="K119" s="22"/>
      <c r="L119" s="30"/>
      <c r="M119" s="23"/>
    </row>
    <row r="120" spans="1:13" ht="60">
      <c r="A120" s="256" t="s">
        <v>594</v>
      </c>
      <c r="B120" s="178" t="s">
        <v>595</v>
      </c>
      <c r="C120" s="172">
        <v>1697734</v>
      </c>
      <c r="D120" s="26"/>
      <c r="E120" s="26"/>
      <c r="F120" s="26"/>
      <c r="G120" s="26"/>
      <c r="H120" s="27"/>
      <c r="I120" s="119">
        <f>SUM(C120:H120)</f>
        <v>1697734</v>
      </c>
      <c r="J120" s="232"/>
      <c r="K120" s="22"/>
      <c r="L120" s="30"/>
      <c r="M120" s="23"/>
    </row>
    <row r="121" spans="1:13" ht="15">
      <c r="A121" s="256" t="s">
        <v>682</v>
      </c>
      <c r="B121" s="179" t="s">
        <v>685</v>
      </c>
      <c r="C121" s="172">
        <v>150000</v>
      </c>
      <c r="D121" s="26"/>
      <c r="E121" s="26"/>
      <c r="F121" s="26"/>
      <c r="G121" s="26"/>
      <c r="H121" s="27"/>
      <c r="I121" s="119">
        <f>SUM(C121:H121)</f>
        <v>150000</v>
      </c>
      <c r="J121" s="232"/>
      <c r="K121" s="22"/>
      <c r="L121" s="30"/>
      <c r="M121" s="23"/>
    </row>
    <row r="122" spans="1:13" ht="15">
      <c r="A122" s="256" t="s">
        <v>683</v>
      </c>
      <c r="B122" s="179" t="s">
        <v>687</v>
      </c>
      <c r="C122" s="172">
        <v>100000</v>
      </c>
      <c r="D122" s="26"/>
      <c r="E122" s="26"/>
      <c r="F122" s="26"/>
      <c r="G122" s="26"/>
      <c r="H122" s="27"/>
      <c r="I122" s="119">
        <f>SUM(C122:H122)</f>
        <v>100000</v>
      </c>
      <c r="J122" s="232"/>
      <c r="K122" s="22"/>
      <c r="L122" s="30"/>
      <c r="M122" s="23"/>
    </row>
    <row r="123" spans="1:13" ht="15.75" thickBot="1">
      <c r="A123" s="256" t="s">
        <v>684</v>
      </c>
      <c r="B123" s="178" t="s">
        <v>686</v>
      </c>
      <c r="C123" s="172">
        <v>50000</v>
      </c>
      <c r="D123" s="26"/>
      <c r="E123" s="26"/>
      <c r="F123" s="26"/>
      <c r="G123" s="26"/>
      <c r="H123" s="27"/>
      <c r="I123" s="119">
        <f t="shared" si="18"/>
        <v>50000</v>
      </c>
      <c r="J123" s="232"/>
      <c r="K123" s="22"/>
      <c r="L123" s="30"/>
      <c r="M123" s="23"/>
    </row>
    <row r="124" spans="1:13" ht="15.75" thickBot="1">
      <c r="A124" s="68" t="s">
        <v>220</v>
      </c>
      <c r="B124" s="20" t="s">
        <v>221</v>
      </c>
      <c r="C124" s="53">
        <f aca="true" t="shared" si="20" ref="C124:I124">SUM(C125,C128:C129)</f>
        <v>129461</v>
      </c>
      <c r="D124" s="53">
        <f t="shared" si="20"/>
        <v>0</v>
      </c>
      <c r="E124" s="53">
        <f t="shared" si="20"/>
        <v>0</v>
      </c>
      <c r="F124" s="53">
        <f t="shared" si="20"/>
        <v>0</v>
      </c>
      <c r="G124" s="53">
        <f t="shared" si="20"/>
        <v>0</v>
      </c>
      <c r="H124" s="53">
        <f t="shared" si="20"/>
        <v>0</v>
      </c>
      <c r="I124" s="54">
        <f t="shared" si="20"/>
        <v>129461</v>
      </c>
      <c r="J124" s="232"/>
      <c r="K124" s="22"/>
      <c r="L124" s="23"/>
      <c r="M124" s="23"/>
    </row>
    <row r="125" spans="1:13" s="5" customFormat="1" ht="15">
      <c r="A125" s="113" t="s">
        <v>222</v>
      </c>
      <c r="B125" s="114" t="s">
        <v>223</v>
      </c>
      <c r="C125" s="164">
        <f aca="true" t="shared" si="21" ref="C125:H125">SUM(C126:C127)</f>
        <v>58090</v>
      </c>
      <c r="D125" s="164">
        <f t="shared" si="21"/>
        <v>0</v>
      </c>
      <c r="E125" s="164">
        <f t="shared" si="21"/>
        <v>0</v>
      </c>
      <c r="F125" s="164">
        <f t="shared" si="21"/>
        <v>0</v>
      </c>
      <c r="G125" s="164">
        <f>SUM(G126:G127)</f>
        <v>0</v>
      </c>
      <c r="H125" s="164">
        <f t="shared" si="21"/>
        <v>0</v>
      </c>
      <c r="I125" s="29">
        <f aca="true" t="shared" si="22" ref="I125:I185">SUM(C125:H125)</f>
        <v>58090</v>
      </c>
      <c r="J125" s="232"/>
      <c r="K125" s="22"/>
      <c r="L125" s="30"/>
      <c r="M125" s="23"/>
    </row>
    <row r="126" spans="1:13" s="5" customFormat="1" ht="15">
      <c r="A126" s="35" t="s">
        <v>224</v>
      </c>
      <c r="B126" s="32" t="s">
        <v>662</v>
      </c>
      <c r="C126" s="163">
        <v>19833</v>
      </c>
      <c r="D126" s="115"/>
      <c r="E126" s="115"/>
      <c r="F126" s="115"/>
      <c r="G126" s="74"/>
      <c r="H126" s="27"/>
      <c r="I126" s="119">
        <f t="shared" si="22"/>
        <v>19833</v>
      </c>
      <c r="J126" s="232"/>
      <c r="K126" s="22"/>
      <c r="L126" s="166"/>
      <c r="M126" s="23"/>
    </row>
    <row r="127" spans="1:13" s="5" customFormat="1" ht="15">
      <c r="A127" s="35" t="s">
        <v>596</v>
      </c>
      <c r="B127" s="32" t="s">
        <v>597</v>
      </c>
      <c r="C127" s="163">
        <v>38257</v>
      </c>
      <c r="D127" s="115"/>
      <c r="E127" s="115"/>
      <c r="F127" s="115"/>
      <c r="G127" s="74"/>
      <c r="H127" s="27"/>
      <c r="I127" s="119">
        <f t="shared" si="22"/>
        <v>38257</v>
      </c>
      <c r="J127" s="232"/>
      <c r="K127" s="22"/>
      <c r="L127" s="166"/>
      <c r="M127" s="23"/>
    </row>
    <row r="128" spans="1:13" s="5" customFormat="1" ht="28.5" customHeight="1">
      <c r="A128" s="155" t="s">
        <v>225</v>
      </c>
      <c r="B128" s="180" t="s">
        <v>226</v>
      </c>
      <c r="C128" s="163">
        <v>21861</v>
      </c>
      <c r="D128" s="115"/>
      <c r="E128" s="115"/>
      <c r="F128" s="115"/>
      <c r="G128" s="74"/>
      <c r="H128" s="27"/>
      <c r="I128" s="119">
        <f t="shared" si="22"/>
        <v>21861</v>
      </c>
      <c r="J128" s="232"/>
      <c r="K128" s="22"/>
      <c r="L128" s="30"/>
      <c r="M128" s="23"/>
    </row>
    <row r="129" spans="1:13" ht="15.75" thickBot="1">
      <c r="A129" s="155" t="s">
        <v>227</v>
      </c>
      <c r="B129" s="180" t="s">
        <v>228</v>
      </c>
      <c r="C129" s="162">
        <v>49510</v>
      </c>
      <c r="D129" s="26"/>
      <c r="E129" s="27"/>
      <c r="F129" s="27"/>
      <c r="G129" s="26"/>
      <c r="H129" s="27"/>
      <c r="I129" s="119">
        <f t="shared" si="22"/>
        <v>49510</v>
      </c>
      <c r="J129" s="232"/>
      <c r="K129" s="22"/>
      <c r="L129" s="30"/>
      <c r="M129" s="23"/>
    </row>
    <row r="130" spans="1:13" ht="15.75" thickBot="1">
      <c r="A130" s="68" t="s">
        <v>229</v>
      </c>
      <c r="B130" s="20" t="s">
        <v>230</v>
      </c>
      <c r="C130" s="53">
        <f aca="true" t="shared" si="23" ref="C130:H130">C131+C136+C190+C193</f>
        <v>7881580</v>
      </c>
      <c r="D130" s="53">
        <f t="shared" si="23"/>
        <v>413255</v>
      </c>
      <c r="E130" s="53">
        <f t="shared" si="23"/>
        <v>2099863</v>
      </c>
      <c r="F130" s="53">
        <f t="shared" si="23"/>
        <v>0</v>
      </c>
      <c r="G130" s="53">
        <f t="shared" si="23"/>
        <v>0</v>
      </c>
      <c r="H130" s="53">
        <f t="shared" si="23"/>
        <v>0</v>
      </c>
      <c r="I130" s="54">
        <f t="shared" si="22"/>
        <v>10394698</v>
      </c>
      <c r="J130" s="232"/>
      <c r="K130" s="22"/>
      <c r="L130" s="23"/>
      <c r="M130" s="23"/>
    </row>
    <row r="131" spans="1:13" ht="15">
      <c r="A131" s="113" t="s">
        <v>231</v>
      </c>
      <c r="B131" s="114" t="s">
        <v>232</v>
      </c>
      <c r="C131" s="115">
        <f aca="true" t="shared" si="24" ref="C131:H131">SUM(C132:C135)</f>
        <v>1090817</v>
      </c>
      <c r="D131" s="115">
        <f t="shared" si="24"/>
        <v>413255</v>
      </c>
      <c r="E131" s="115">
        <f t="shared" si="24"/>
        <v>0</v>
      </c>
      <c r="F131" s="115">
        <f t="shared" si="24"/>
        <v>0</v>
      </c>
      <c r="G131" s="115">
        <f t="shared" si="24"/>
        <v>0</v>
      </c>
      <c r="H131" s="115">
        <f t="shared" si="24"/>
        <v>0</v>
      </c>
      <c r="I131" s="117">
        <f t="shared" si="22"/>
        <v>1504072</v>
      </c>
      <c r="J131" s="232"/>
      <c r="K131" s="22"/>
      <c r="L131" s="30"/>
      <c r="M131" s="23"/>
    </row>
    <row r="132" spans="1:13" ht="15">
      <c r="A132" s="35" t="s">
        <v>233</v>
      </c>
      <c r="B132" s="32" t="s">
        <v>234</v>
      </c>
      <c r="C132" s="135">
        <f>161868+18000</f>
        <v>179868</v>
      </c>
      <c r="D132" s="26"/>
      <c r="E132" s="27"/>
      <c r="F132" s="27"/>
      <c r="G132" s="26"/>
      <c r="H132" s="27"/>
      <c r="I132" s="119">
        <f t="shared" si="22"/>
        <v>179868</v>
      </c>
      <c r="J132" s="232"/>
      <c r="K132" s="22"/>
      <c r="L132" s="30"/>
      <c r="M132" s="23"/>
    </row>
    <row r="133" spans="1:13" ht="30">
      <c r="A133" s="35" t="s">
        <v>235</v>
      </c>
      <c r="B133" s="32" t="s">
        <v>530</v>
      </c>
      <c r="C133" s="135">
        <f>815327</f>
        <v>815327</v>
      </c>
      <c r="D133" s="26"/>
      <c r="E133" s="27"/>
      <c r="F133" s="27"/>
      <c r="G133" s="26"/>
      <c r="H133" s="27"/>
      <c r="I133" s="119">
        <f t="shared" si="22"/>
        <v>815327</v>
      </c>
      <c r="J133" s="232"/>
      <c r="K133" s="22"/>
      <c r="L133" s="30"/>
      <c r="M133" s="23"/>
    </row>
    <row r="134" spans="1:13" ht="15">
      <c r="A134" s="35" t="s">
        <v>528</v>
      </c>
      <c r="B134" s="32" t="s">
        <v>520</v>
      </c>
      <c r="C134" s="135">
        <f>95622</f>
        <v>95622</v>
      </c>
      <c r="D134" s="27"/>
      <c r="E134" s="27"/>
      <c r="F134" s="27"/>
      <c r="G134" s="26"/>
      <c r="H134" s="27"/>
      <c r="I134" s="119">
        <f t="shared" si="22"/>
        <v>95622</v>
      </c>
      <c r="J134" s="232"/>
      <c r="K134" s="22"/>
      <c r="L134" s="30"/>
      <c r="M134" s="23"/>
    </row>
    <row r="135" spans="1:13" ht="15">
      <c r="A135" s="35" t="s">
        <v>236</v>
      </c>
      <c r="B135" s="32" t="s">
        <v>237</v>
      </c>
      <c r="C135" s="27"/>
      <c r="D135" s="27">
        <v>413255</v>
      </c>
      <c r="E135" s="27"/>
      <c r="F135" s="27"/>
      <c r="G135" s="26"/>
      <c r="H135" s="27"/>
      <c r="I135" s="119">
        <f t="shared" si="22"/>
        <v>413255</v>
      </c>
      <c r="J135" s="232"/>
      <c r="K135" s="22"/>
      <c r="L135" s="30"/>
      <c r="M135" s="23"/>
    </row>
    <row r="136" spans="1:13" ht="15">
      <c r="A136" s="120" t="s">
        <v>238</v>
      </c>
      <c r="B136" s="122" t="s">
        <v>239</v>
      </c>
      <c r="C136" s="80">
        <f aca="true" t="shared" si="25" ref="C136:H136">SUM(C137+C154+C160++C180+C182)</f>
        <v>6549868</v>
      </c>
      <c r="D136" s="80">
        <f t="shared" si="25"/>
        <v>0</v>
      </c>
      <c r="E136" s="80">
        <f t="shared" si="25"/>
        <v>2099863</v>
      </c>
      <c r="F136" s="80">
        <f t="shared" si="25"/>
        <v>0</v>
      </c>
      <c r="G136" s="80">
        <f t="shared" si="25"/>
        <v>0</v>
      </c>
      <c r="H136" s="80">
        <f t="shared" si="25"/>
        <v>0</v>
      </c>
      <c r="I136" s="119">
        <f>SUM(C136:H136)</f>
        <v>8649731</v>
      </c>
      <c r="J136" s="232"/>
      <c r="K136" s="22"/>
      <c r="L136" s="23"/>
      <c r="M136" s="23"/>
    </row>
    <row r="137" spans="1:14" ht="15">
      <c r="A137" s="181" t="s">
        <v>240</v>
      </c>
      <c r="B137" s="32" t="s">
        <v>241</v>
      </c>
      <c r="C137" s="27">
        <f aca="true" t="shared" si="26" ref="C137:H137">SUM(C138:C153)</f>
        <v>1603565</v>
      </c>
      <c r="D137" s="27">
        <f t="shared" si="26"/>
        <v>0</v>
      </c>
      <c r="E137" s="27">
        <f t="shared" si="26"/>
        <v>0</v>
      </c>
      <c r="F137" s="27">
        <f t="shared" si="26"/>
        <v>0</v>
      </c>
      <c r="G137" s="27">
        <f t="shared" si="26"/>
        <v>0</v>
      </c>
      <c r="H137" s="27">
        <f t="shared" si="26"/>
        <v>0</v>
      </c>
      <c r="I137" s="119">
        <f t="shared" si="22"/>
        <v>1603565</v>
      </c>
      <c r="J137" s="232"/>
      <c r="K137" s="22"/>
      <c r="L137" s="30"/>
      <c r="M137" s="23"/>
      <c r="N137" s="131"/>
    </row>
    <row r="138" spans="1:13" ht="15">
      <c r="A138" s="173" t="s">
        <v>242</v>
      </c>
      <c r="B138" s="174" t="s">
        <v>243</v>
      </c>
      <c r="C138" s="27">
        <v>760352</v>
      </c>
      <c r="D138" s="27"/>
      <c r="E138" s="27"/>
      <c r="F138" s="27"/>
      <c r="G138" s="27"/>
      <c r="H138" s="27"/>
      <c r="I138" s="119">
        <f t="shared" si="22"/>
        <v>760352</v>
      </c>
      <c r="J138" s="232"/>
      <c r="K138" s="22"/>
      <c r="L138" s="30"/>
      <c r="M138" s="23"/>
    </row>
    <row r="139" spans="1:13" ht="15">
      <c r="A139" s="173" t="s">
        <v>244</v>
      </c>
      <c r="B139" s="32" t="s">
        <v>245</v>
      </c>
      <c r="C139" s="27">
        <f>139904+24609</f>
        <v>164513</v>
      </c>
      <c r="D139" s="27"/>
      <c r="E139" s="27"/>
      <c r="F139" s="27"/>
      <c r="G139" s="27"/>
      <c r="H139" s="27"/>
      <c r="I139" s="119">
        <f t="shared" si="22"/>
        <v>164513</v>
      </c>
      <c r="J139" s="232"/>
      <c r="K139" s="22"/>
      <c r="L139" s="30"/>
      <c r="M139" s="23"/>
    </row>
    <row r="140" spans="1:13" ht="15">
      <c r="A140" s="173" t="s">
        <v>246</v>
      </c>
      <c r="B140" s="32" t="s">
        <v>247</v>
      </c>
      <c r="C140" s="27">
        <v>30927</v>
      </c>
      <c r="D140" s="27"/>
      <c r="E140" s="27"/>
      <c r="F140" s="27"/>
      <c r="G140" s="27"/>
      <c r="H140" s="27"/>
      <c r="I140" s="119">
        <f t="shared" si="22"/>
        <v>30927</v>
      </c>
      <c r="J140" s="232"/>
      <c r="K140" s="22"/>
      <c r="L140" s="30"/>
      <c r="M140" s="23"/>
    </row>
    <row r="141" spans="1:13" ht="30">
      <c r="A141" s="173" t="s">
        <v>248</v>
      </c>
      <c r="B141" s="32" t="s">
        <v>249</v>
      </c>
      <c r="C141" s="135">
        <v>160718</v>
      </c>
      <c r="D141" s="27"/>
      <c r="E141" s="27"/>
      <c r="F141" s="27"/>
      <c r="G141" s="27"/>
      <c r="H141" s="27"/>
      <c r="I141" s="119">
        <f t="shared" si="22"/>
        <v>160718</v>
      </c>
      <c r="J141" s="232"/>
      <c r="K141" s="22"/>
      <c r="L141" s="30"/>
      <c r="M141" s="23"/>
    </row>
    <row r="142" spans="1:13" ht="15">
      <c r="A142" s="173" t="s">
        <v>250</v>
      </c>
      <c r="B142" s="32" t="s">
        <v>251</v>
      </c>
      <c r="C142" s="135">
        <v>31126</v>
      </c>
      <c r="D142" s="27"/>
      <c r="E142" s="27"/>
      <c r="F142" s="27"/>
      <c r="G142" s="27"/>
      <c r="H142" s="27"/>
      <c r="I142" s="119">
        <f t="shared" si="22"/>
        <v>31126</v>
      </c>
      <c r="J142" s="232"/>
      <c r="K142" s="22"/>
      <c r="L142" s="30"/>
      <c r="M142" s="23"/>
    </row>
    <row r="143" spans="1:13" ht="15">
      <c r="A143" s="173" t="s">
        <v>252</v>
      </c>
      <c r="B143" s="32" t="s">
        <v>253</v>
      </c>
      <c r="C143" s="27">
        <v>25064</v>
      </c>
      <c r="D143" s="27"/>
      <c r="E143" s="27"/>
      <c r="F143" s="27"/>
      <c r="G143" s="27"/>
      <c r="H143" s="27"/>
      <c r="I143" s="119">
        <f t="shared" si="22"/>
        <v>25064</v>
      </c>
      <c r="J143" s="232"/>
      <c r="K143" s="22"/>
      <c r="L143" s="30"/>
      <c r="M143" s="23"/>
    </row>
    <row r="144" spans="1:13" ht="15">
      <c r="A144" s="173" t="s">
        <v>254</v>
      </c>
      <c r="B144" s="32" t="s">
        <v>255</v>
      </c>
      <c r="C144" s="27">
        <v>39680</v>
      </c>
      <c r="D144" s="27"/>
      <c r="E144" s="27"/>
      <c r="F144" s="27"/>
      <c r="G144" s="27"/>
      <c r="H144" s="27"/>
      <c r="I144" s="119">
        <f t="shared" si="22"/>
        <v>39680</v>
      </c>
      <c r="J144" s="232"/>
      <c r="K144" s="22"/>
      <c r="L144" s="30"/>
      <c r="M144" s="23"/>
    </row>
    <row r="145" spans="1:13" ht="15">
      <c r="A145" s="173" t="s">
        <v>256</v>
      </c>
      <c r="B145" s="32" t="s">
        <v>257</v>
      </c>
      <c r="C145" s="27">
        <v>151694</v>
      </c>
      <c r="D145" s="27"/>
      <c r="E145" s="27"/>
      <c r="F145" s="27"/>
      <c r="G145" s="27"/>
      <c r="H145" s="27"/>
      <c r="I145" s="119">
        <f t="shared" si="22"/>
        <v>151694</v>
      </c>
      <c r="J145" s="232"/>
      <c r="K145" s="22"/>
      <c r="L145" s="30"/>
      <c r="M145" s="23"/>
    </row>
    <row r="146" spans="1:13" ht="15">
      <c r="A146" s="173" t="s">
        <v>598</v>
      </c>
      <c r="B146" s="32" t="s">
        <v>606</v>
      </c>
      <c r="C146" s="27">
        <v>44539</v>
      </c>
      <c r="D146" s="27"/>
      <c r="E146" s="27"/>
      <c r="F146" s="27"/>
      <c r="G146" s="27"/>
      <c r="H146" s="27"/>
      <c r="I146" s="119">
        <f t="shared" si="22"/>
        <v>44539</v>
      </c>
      <c r="J146" s="232"/>
      <c r="K146" s="22"/>
      <c r="L146" s="30"/>
      <c r="M146" s="23"/>
    </row>
    <row r="147" spans="1:13" ht="15">
      <c r="A147" s="173" t="s">
        <v>599</v>
      </c>
      <c r="B147" s="32" t="s">
        <v>607</v>
      </c>
      <c r="C147" s="27">
        <v>42630</v>
      </c>
      <c r="D147" s="27"/>
      <c r="E147" s="27"/>
      <c r="F147" s="27"/>
      <c r="G147" s="27"/>
      <c r="H147" s="27"/>
      <c r="I147" s="119">
        <f t="shared" si="22"/>
        <v>42630</v>
      </c>
      <c r="J147" s="232"/>
      <c r="K147" s="22"/>
      <c r="L147" s="30"/>
      <c r="M147" s="23"/>
    </row>
    <row r="148" spans="1:13" ht="15">
      <c r="A148" s="173" t="s">
        <v>600</v>
      </c>
      <c r="B148" s="32" t="s">
        <v>608</v>
      </c>
      <c r="C148" s="27">
        <v>22008</v>
      </c>
      <c r="D148" s="27"/>
      <c r="E148" s="27"/>
      <c r="F148" s="27"/>
      <c r="G148" s="27"/>
      <c r="H148" s="27"/>
      <c r="I148" s="119">
        <f t="shared" si="22"/>
        <v>22008</v>
      </c>
      <c r="J148" s="232"/>
      <c r="K148" s="22"/>
      <c r="L148" s="30"/>
      <c r="M148" s="23"/>
    </row>
    <row r="149" spans="1:13" ht="15">
      <c r="A149" s="173" t="s">
        <v>601</v>
      </c>
      <c r="B149" s="32" t="s">
        <v>609</v>
      </c>
      <c r="C149" s="27">
        <v>42052</v>
      </c>
      <c r="D149" s="27"/>
      <c r="E149" s="27"/>
      <c r="F149" s="27"/>
      <c r="G149" s="27"/>
      <c r="H149" s="27"/>
      <c r="I149" s="119">
        <f t="shared" si="22"/>
        <v>42052</v>
      </c>
      <c r="J149" s="232"/>
      <c r="K149" s="22"/>
      <c r="L149" s="30"/>
      <c r="M149" s="23"/>
    </row>
    <row r="150" spans="1:13" ht="15">
      <c r="A150" s="173" t="s">
        <v>602</v>
      </c>
      <c r="B150" s="32" t="s">
        <v>610</v>
      </c>
      <c r="C150" s="27">
        <v>19609</v>
      </c>
      <c r="D150" s="27"/>
      <c r="E150" s="27"/>
      <c r="F150" s="27"/>
      <c r="G150" s="27"/>
      <c r="H150" s="27"/>
      <c r="I150" s="119">
        <f t="shared" si="22"/>
        <v>19609</v>
      </c>
      <c r="J150" s="232"/>
      <c r="K150" s="22"/>
      <c r="L150" s="30"/>
      <c r="M150" s="23"/>
    </row>
    <row r="151" spans="1:13" ht="15">
      <c r="A151" s="173" t="s">
        <v>603</v>
      </c>
      <c r="B151" s="32" t="s">
        <v>611</v>
      </c>
      <c r="C151" s="27">
        <v>20351</v>
      </c>
      <c r="D151" s="27"/>
      <c r="E151" s="27"/>
      <c r="F151" s="27"/>
      <c r="G151" s="27"/>
      <c r="H151" s="27"/>
      <c r="I151" s="119">
        <f t="shared" si="22"/>
        <v>20351</v>
      </c>
      <c r="J151" s="232"/>
      <c r="K151" s="22"/>
      <c r="L151" s="30"/>
      <c r="M151" s="23"/>
    </row>
    <row r="152" spans="1:13" ht="15">
      <c r="A152" s="173" t="s">
        <v>604</v>
      </c>
      <c r="B152" s="32" t="s">
        <v>612</v>
      </c>
      <c r="C152" s="27">
        <v>26112</v>
      </c>
      <c r="D152" s="27"/>
      <c r="E152" s="27"/>
      <c r="F152" s="27"/>
      <c r="G152" s="27"/>
      <c r="H152" s="27"/>
      <c r="I152" s="119">
        <f t="shared" si="22"/>
        <v>26112</v>
      </c>
      <c r="J152" s="232"/>
      <c r="K152" s="22"/>
      <c r="L152" s="30"/>
      <c r="M152" s="23"/>
    </row>
    <row r="153" spans="1:13" ht="15">
      <c r="A153" s="173" t="s">
        <v>605</v>
      </c>
      <c r="B153" s="32" t="s">
        <v>613</v>
      </c>
      <c r="C153" s="27">
        <v>22190</v>
      </c>
      <c r="D153" s="27"/>
      <c r="E153" s="27"/>
      <c r="F153" s="27"/>
      <c r="G153" s="27"/>
      <c r="H153" s="27"/>
      <c r="I153" s="119">
        <f t="shared" si="22"/>
        <v>22190</v>
      </c>
      <c r="J153" s="232"/>
      <c r="K153" s="22"/>
      <c r="L153" s="30"/>
      <c r="M153" s="23"/>
    </row>
    <row r="154" spans="1:13" ht="15">
      <c r="A154" s="31" t="s">
        <v>258</v>
      </c>
      <c r="B154" s="32" t="s">
        <v>259</v>
      </c>
      <c r="C154" s="80">
        <f aca="true" t="shared" si="27" ref="C154:H154">SUM(C155:C159)</f>
        <v>564896</v>
      </c>
      <c r="D154" s="27">
        <f t="shared" si="27"/>
        <v>0</v>
      </c>
      <c r="E154" s="27">
        <f t="shared" si="27"/>
        <v>0</v>
      </c>
      <c r="F154" s="27">
        <f t="shared" si="27"/>
        <v>0</v>
      </c>
      <c r="G154" s="27">
        <f t="shared" si="27"/>
        <v>0</v>
      </c>
      <c r="H154" s="27">
        <f t="shared" si="27"/>
        <v>0</v>
      </c>
      <c r="I154" s="119">
        <f t="shared" si="22"/>
        <v>564896</v>
      </c>
      <c r="J154" s="232"/>
      <c r="K154" s="22"/>
      <c r="L154" s="30"/>
      <c r="M154" s="23"/>
    </row>
    <row r="155" spans="1:13" ht="15">
      <c r="A155" s="35" t="s">
        <v>260</v>
      </c>
      <c r="B155" s="32" t="s">
        <v>261</v>
      </c>
      <c r="C155" s="27">
        <v>357102</v>
      </c>
      <c r="D155" s="26"/>
      <c r="E155" s="27"/>
      <c r="F155" s="27"/>
      <c r="G155" s="26"/>
      <c r="H155" s="27"/>
      <c r="I155" s="119">
        <f t="shared" si="22"/>
        <v>357102</v>
      </c>
      <c r="J155" s="232"/>
      <c r="K155" s="22"/>
      <c r="L155" s="30"/>
      <c r="M155" s="23"/>
    </row>
    <row r="156" spans="1:13" ht="15">
      <c r="A156" s="35" t="s">
        <v>262</v>
      </c>
      <c r="B156" s="141" t="s">
        <v>263</v>
      </c>
      <c r="C156" s="27">
        <v>16631</v>
      </c>
      <c r="D156" s="27"/>
      <c r="E156" s="27"/>
      <c r="F156" s="27"/>
      <c r="G156" s="27"/>
      <c r="H156" s="27"/>
      <c r="I156" s="119">
        <f t="shared" si="22"/>
        <v>16631</v>
      </c>
      <c r="J156" s="232"/>
      <c r="K156" s="22"/>
      <c r="L156" s="30"/>
      <c r="M156" s="23"/>
    </row>
    <row r="157" spans="1:13" ht="15">
      <c r="A157" s="35" t="s">
        <v>264</v>
      </c>
      <c r="B157" s="141" t="s">
        <v>265</v>
      </c>
      <c r="C157" s="135">
        <v>133470</v>
      </c>
      <c r="D157" s="27"/>
      <c r="E157" s="27"/>
      <c r="F157" s="27"/>
      <c r="G157" s="27"/>
      <c r="H157" s="27"/>
      <c r="I157" s="119">
        <f t="shared" si="22"/>
        <v>133470</v>
      </c>
      <c r="J157" s="232"/>
      <c r="K157" s="22"/>
      <c r="L157" s="30"/>
      <c r="M157" s="23"/>
    </row>
    <row r="158" spans="1:13" ht="15">
      <c r="A158" s="173" t="s">
        <v>266</v>
      </c>
      <c r="B158" s="141" t="s">
        <v>267</v>
      </c>
      <c r="C158" s="135">
        <v>24273</v>
      </c>
      <c r="D158" s="27"/>
      <c r="E158" s="27"/>
      <c r="F158" s="27"/>
      <c r="G158" s="27"/>
      <c r="H158" s="27"/>
      <c r="I158" s="119">
        <f t="shared" si="22"/>
        <v>24273</v>
      </c>
      <c r="J158" s="232"/>
      <c r="K158" s="22"/>
      <c r="L158" s="30"/>
      <c r="M158" s="23"/>
    </row>
    <row r="159" spans="1:13" ht="15">
      <c r="A159" s="173" t="s">
        <v>268</v>
      </c>
      <c r="B159" s="174" t="s">
        <v>269</v>
      </c>
      <c r="C159" s="135">
        <v>33420</v>
      </c>
      <c r="D159" s="27"/>
      <c r="E159" s="27"/>
      <c r="F159" s="27"/>
      <c r="G159" s="27"/>
      <c r="H159" s="27"/>
      <c r="I159" s="119">
        <f t="shared" si="22"/>
        <v>33420</v>
      </c>
      <c r="J159" s="232"/>
      <c r="K159" s="22"/>
      <c r="L159" s="30"/>
      <c r="M159" s="23"/>
    </row>
    <row r="160" spans="1:14" ht="15">
      <c r="A160" s="31" t="s">
        <v>270</v>
      </c>
      <c r="B160" s="32" t="s">
        <v>271</v>
      </c>
      <c r="C160" s="80">
        <f>SUM(C161:C179)</f>
        <v>3268847</v>
      </c>
      <c r="D160" s="80">
        <f>SUM(D161:D178)</f>
        <v>0</v>
      </c>
      <c r="E160" s="80">
        <f>SUM(E161:E178)</f>
        <v>2099863</v>
      </c>
      <c r="F160" s="80">
        <f>SUM(F161:F178)</f>
        <v>0</v>
      </c>
      <c r="G160" s="80">
        <f>SUM(G161:G178)</f>
        <v>0</v>
      </c>
      <c r="H160" s="80">
        <f>SUM(H161:H178)</f>
        <v>0</v>
      </c>
      <c r="I160" s="119">
        <f t="shared" si="22"/>
        <v>5368710</v>
      </c>
      <c r="J160" s="232"/>
      <c r="K160" s="22"/>
      <c r="L160" s="30"/>
      <c r="M160" s="23"/>
      <c r="N160" s="131"/>
    </row>
    <row r="161" spans="1:13" ht="15">
      <c r="A161" s="35" t="s">
        <v>272</v>
      </c>
      <c r="B161" s="32" t="s">
        <v>273</v>
      </c>
      <c r="C161" s="27"/>
      <c r="D161" s="26"/>
      <c r="E161" s="27">
        <v>601837</v>
      </c>
      <c r="F161" s="27"/>
      <c r="G161" s="38"/>
      <c r="H161" s="27"/>
      <c r="I161" s="119">
        <f t="shared" si="22"/>
        <v>601837</v>
      </c>
      <c r="J161" s="232"/>
      <c r="K161" s="22"/>
      <c r="L161" s="30"/>
      <c r="M161" s="23"/>
    </row>
    <row r="162" spans="1:13" ht="15">
      <c r="A162" s="35" t="s">
        <v>274</v>
      </c>
      <c r="B162" s="32" t="s">
        <v>275</v>
      </c>
      <c r="C162" s="231"/>
      <c r="D162" s="26"/>
      <c r="E162" s="135">
        <f>1532026-34000</f>
        <v>1498026</v>
      </c>
      <c r="F162" s="27"/>
      <c r="G162" s="26"/>
      <c r="H162" s="27"/>
      <c r="I162" s="119">
        <f t="shared" si="22"/>
        <v>1498026</v>
      </c>
      <c r="J162" s="232"/>
      <c r="K162" s="22"/>
      <c r="L162" s="30"/>
      <c r="M162" s="23"/>
    </row>
    <row r="163" spans="1:13" ht="15">
      <c r="A163" s="35" t="s">
        <v>276</v>
      </c>
      <c r="B163" s="32" t="s">
        <v>277</v>
      </c>
      <c r="C163" s="27">
        <v>22901</v>
      </c>
      <c r="D163" s="26"/>
      <c r="E163" s="27"/>
      <c r="F163" s="27"/>
      <c r="G163" s="182"/>
      <c r="H163" s="27"/>
      <c r="I163" s="119">
        <f t="shared" si="22"/>
        <v>22901</v>
      </c>
      <c r="J163" s="232"/>
      <c r="K163" s="22"/>
      <c r="L163" s="30"/>
      <c r="M163" s="23"/>
    </row>
    <row r="164" spans="1:13" ht="15">
      <c r="A164" s="173" t="s">
        <v>278</v>
      </c>
      <c r="B164" s="32" t="s">
        <v>279</v>
      </c>
      <c r="C164" s="135">
        <f>410150+3224</f>
        <v>413374</v>
      </c>
      <c r="D164" s="26"/>
      <c r="E164" s="27"/>
      <c r="F164" s="27"/>
      <c r="G164" s="38"/>
      <c r="H164" s="27"/>
      <c r="I164" s="119">
        <f t="shared" si="22"/>
        <v>413374</v>
      </c>
      <c r="J164" s="232"/>
      <c r="K164" s="22"/>
      <c r="L164" s="30"/>
      <c r="M164" s="23"/>
    </row>
    <row r="165" spans="1:13" ht="15">
      <c r="A165" s="173" t="s">
        <v>280</v>
      </c>
      <c r="B165" s="32" t="s">
        <v>281</v>
      </c>
      <c r="C165" s="27">
        <f>225860+2821</f>
        <v>228681</v>
      </c>
      <c r="D165" s="26"/>
      <c r="E165" s="27"/>
      <c r="F165" s="27"/>
      <c r="G165" s="38"/>
      <c r="H165" s="27"/>
      <c r="I165" s="119">
        <f t="shared" si="22"/>
        <v>228681</v>
      </c>
      <c r="J165" s="232"/>
      <c r="K165" s="22"/>
      <c r="L165" s="30"/>
      <c r="M165" s="23"/>
    </row>
    <row r="166" spans="1:13" ht="15">
      <c r="A166" s="173" t="s">
        <v>282</v>
      </c>
      <c r="B166" s="174" t="s">
        <v>283</v>
      </c>
      <c r="C166" s="150">
        <f>82086+208995+628290+11687</f>
        <v>931058</v>
      </c>
      <c r="D166" s="26"/>
      <c r="E166" s="27"/>
      <c r="F166" s="27"/>
      <c r="G166" s="38"/>
      <c r="H166" s="27"/>
      <c r="I166" s="119">
        <f t="shared" si="22"/>
        <v>931058</v>
      </c>
      <c r="J166" s="232"/>
      <c r="K166" s="22"/>
      <c r="L166" s="30"/>
      <c r="M166" s="23"/>
    </row>
    <row r="167" spans="1:13" ht="15">
      <c r="A167" s="173" t="s">
        <v>284</v>
      </c>
      <c r="B167" s="174" t="s">
        <v>285</v>
      </c>
      <c r="C167" s="150">
        <f>280065+2418</f>
        <v>282483</v>
      </c>
      <c r="D167" s="26"/>
      <c r="E167" s="27"/>
      <c r="F167" s="27"/>
      <c r="G167" s="38"/>
      <c r="H167" s="27"/>
      <c r="I167" s="119">
        <f t="shared" si="22"/>
        <v>282483</v>
      </c>
      <c r="J167" s="232"/>
      <c r="K167" s="22"/>
      <c r="L167" s="30"/>
      <c r="M167" s="23"/>
    </row>
    <row r="168" spans="1:13" ht="15">
      <c r="A168" s="173" t="s">
        <v>286</v>
      </c>
      <c r="B168" s="174" t="s">
        <v>287</v>
      </c>
      <c r="C168" s="150">
        <f>163305+1612</f>
        <v>164917</v>
      </c>
      <c r="D168" s="26"/>
      <c r="E168" s="27"/>
      <c r="F168" s="27"/>
      <c r="G168" s="38"/>
      <c r="H168" s="27"/>
      <c r="I168" s="119">
        <f t="shared" si="22"/>
        <v>164917</v>
      </c>
      <c r="J168" s="232"/>
      <c r="K168" s="22"/>
      <c r="L168" s="30"/>
      <c r="M168" s="23"/>
    </row>
    <row r="169" spans="1:13" ht="15">
      <c r="A169" s="173" t="s">
        <v>288</v>
      </c>
      <c r="B169" s="174" t="s">
        <v>289</v>
      </c>
      <c r="C169" s="150">
        <v>58325</v>
      </c>
      <c r="D169" s="26"/>
      <c r="E169" s="27"/>
      <c r="F169" s="27"/>
      <c r="G169" s="38"/>
      <c r="H169" s="27"/>
      <c r="I169" s="119">
        <f t="shared" si="22"/>
        <v>58325</v>
      </c>
      <c r="J169" s="232"/>
      <c r="K169" s="22"/>
      <c r="L169" s="30"/>
      <c r="M169" s="23"/>
    </row>
    <row r="170" spans="1:13" ht="15">
      <c r="A170" s="173" t="s">
        <v>290</v>
      </c>
      <c r="B170" s="174" t="s">
        <v>291</v>
      </c>
      <c r="C170" s="263">
        <f>105850+806</f>
        <v>106656</v>
      </c>
      <c r="D170" s="26"/>
      <c r="E170" s="27"/>
      <c r="F170" s="27"/>
      <c r="G170" s="38"/>
      <c r="H170" s="27"/>
      <c r="I170" s="119">
        <f t="shared" si="22"/>
        <v>106656</v>
      </c>
      <c r="J170" s="232"/>
      <c r="K170" s="22"/>
      <c r="L170" s="30"/>
      <c r="M170" s="23"/>
    </row>
    <row r="171" spans="1:13" ht="15">
      <c r="A171" s="173" t="s">
        <v>614</v>
      </c>
      <c r="B171" s="147" t="s">
        <v>622</v>
      </c>
      <c r="C171" s="257">
        <f>231112+4030</f>
        <v>235142</v>
      </c>
      <c r="D171" s="26"/>
      <c r="E171" s="27"/>
      <c r="F171" s="27"/>
      <c r="G171" s="38"/>
      <c r="H171" s="27"/>
      <c r="I171" s="119">
        <f t="shared" si="22"/>
        <v>235142</v>
      </c>
      <c r="J171" s="232"/>
      <c r="K171" s="22"/>
      <c r="L171" s="30"/>
      <c r="M171" s="23"/>
    </row>
    <row r="172" spans="1:13" ht="15">
      <c r="A172" s="173" t="s">
        <v>615</v>
      </c>
      <c r="B172" s="147" t="s">
        <v>623</v>
      </c>
      <c r="C172" s="257">
        <f>111475+403</f>
        <v>111878</v>
      </c>
      <c r="D172" s="26"/>
      <c r="E172" s="27"/>
      <c r="F172" s="27"/>
      <c r="G172" s="38"/>
      <c r="H172" s="27"/>
      <c r="I172" s="119">
        <f t="shared" si="22"/>
        <v>111878</v>
      </c>
      <c r="J172" s="232"/>
      <c r="K172" s="22"/>
      <c r="L172" s="30"/>
      <c r="M172" s="23"/>
    </row>
    <row r="173" spans="1:13" ht="15">
      <c r="A173" s="173" t="s">
        <v>616</v>
      </c>
      <c r="B173" s="147" t="s">
        <v>624</v>
      </c>
      <c r="C173" s="257">
        <f>158303+2418</f>
        <v>160721</v>
      </c>
      <c r="D173" s="26"/>
      <c r="E173" s="27"/>
      <c r="F173" s="27"/>
      <c r="G173" s="38"/>
      <c r="H173" s="27"/>
      <c r="I173" s="119">
        <f t="shared" si="22"/>
        <v>160721</v>
      </c>
      <c r="J173" s="232"/>
      <c r="K173" s="22"/>
      <c r="L173" s="30"/>
      <c r="M173" s="23"/>
    </row>
    <row r="174" spans="1:13" ht="15">
      <c r="A174" s="173" t="s">
        <v>617</v>
      </c>
      <c r="B174" s="147" t="s">
        <v>625</v>
      </c>
      <c r="C174" s="257">
        <f>200305+4030</f>
        <v>204335</v>
      </c>
      <c r="D174" s="26"/>
      <c r="E174" s="27"/>
      <c r="F174" s="27"/>
      <c r="G174" s="38"/>
      <c r="H174" s="27"/>
      <c r="I174" s="119">
        <f t="shared" si="22"/>
        <v>204335</v>
      </c>
      <c r="J174" s="232"/>
      <c r="K174" s="22"/>
      <c r="L174" s="30"/>
      <c r="M174" s="23"/>
    </row>
    <row r="175" spans="1:13" ht="15">
      <c r="A175" s="173" t="s">
        <v>618</v>
      </c>
      <c r="B175" s="147" t="s">
        <v>626</v>
      </c>
      <c r="C175" s="257">
        <v>19897</v>
      </c>
      <c r="D175" s="26"/>
      <c r="E175" s="27"/>
      <c r="F175" s="27"/>
      <c r="G175" s="38"/>
      <c r="H175" s="27"/>
      <c r="I175" s="119">
        <f t="shared" si="22"/>
        <v>19897</v>
      </c>
      <c r="J175" s="232"/>
      <c r="K175" s="22"/>
      <c r="L175" s="30"/>
      <c r="M175" s="23"/>
    </row>
    <row r="176" spans="1:13" ht="15">
      <c r="A176" s="173" t="s">
        <v>619</v>
      </c>
      <c r="B176" s="147" t="s">
        <v>676</v>
      </c>
      <c r="C176" s="257">
        <f>28894+806</f>
        <v>29700</v>
      </c>
      <c r="D176" s="26"/>
      <c r="E176" s="27"/>
      <c r="F176" s="27"/>
      <c r="G176" s="38"/>
      <c r="H176" s="27"/>
      <c r="I176" s="119">
        <f t="shared" si="22"/>
        <v>29700</v>
      </c>
      <c r="J176" s="232"/>
      <c r="K176" s="22"/>
      <c r="L176" s="30"/>
      <c r="M176" s="23"/>
    </row>
    <row r="177" spans="1:13" ht="15">
      <c r="A177" s="173" t="s">
        <v>620</v>
      </c>
      <c r="B177" s="147" t="s">
        <v>627</v>
      </c>
      <c r="C177" s="257">
        <f>60439+806</f>
        <v>61245</v>
      </c>
      <c r="D177" s="26"/>
      <c r="E177" s="27"/>
      <c r="F177" s="27"/>
      <c r="G177" s="38"/>
      <c r="H177" s="27"/>
      <c r="I177" s="119">
        <f t="shared" si="22"/>
        <v>61245</v>
      </c>
      <c r="J177" s="232"/>
      <c r="K177" s="22"/>
      <c r="L177" s="30"/>
      <c r="M177" s="23"/>
    </row>
    <row r="178" spans="1:13" ht="15">
      <c r="A178" s="173" t="s">
        <v>621</v>
      </c>
      <c r="B178" s="147" t="s">
        <v>628</v>
      </c>
      <c r="C178" s="257">
        <f>82709+806+30000</f>
        <v>113515</v>
      </c>
      <c r="D178" s="26"/>
      <c r="E178" s="27"/>
      <c r="F178" s="27"/>
      <c r="G178" s="38"/>
      <c r="H178" s="27"/>
      <c r="I178" s="119">
        <f>SUM(C178:H178)</f>
        <v>113515</v>
      </c>
      <c r="J178" s="232"/>
      <c r="K178" s="22"/>
      <c r="L178" s="30"/>
      <c r="M178" s="267"/>
    </row>
    <row r="179" spans="1:13" ht="15">
      <c r="A179" s="173" t="s">
        <v>680</v>
      </c>
      <c r="B179" s="147" t="s">
        <v>681</v>
      </c>
      <c r="C179" s="257">
        <v>124019</v>
      </c>
      <c r="D179" s="26"/>
      <c r="E179" s="27"/>
      <c r="F179" s="27"/>
      <c r="G179" s="38"/>
      <c r="H179" s="27"/>
      <c r="I179" s="119">
        <f>SUM(C179:H179)</f>
        <v>124019</v>
      </c>
      <c r="J179" s="232"/>
      <c r="K179" s="22"/>
      <c r="L179" s="30"/>
      <c r="M179" s="23"/>
    </row>
    <row r="180" spans="1:13" ht="15">
      <c r="A180" s="259" t="s">
        <v>663</v>
      </c>
      <c r="B180" s="194" t="s">
        <v>664</v>
      </c>
      <c r="C180" s="261">
        <f>SUM(C181)</f>
        <v>118884</v>
      </c>
      <c r="D180" s="26"/>
      <c r="E180" s="27"/>
      <c r="F180" s="27"/>
      <c r="G180" s="38"/>
      <c r="H180" s="27"/>
      <c r="I180" s="119">
        <f>SUM(C180:H180)</f>
        <v>118884</v>
      </c>
      <c r="J180" s="232"/>
      <c r="K180" s="22"/>
      <c r="L180" s="30"/>
      <c r="M180" s="23"/>
    </row>
    <row r="181" spans="1:13" ht="15">
      <c r="A181" s="173" t="s">
        <v>666</v>
      </c>
      <c r="B181" s="147" t="s">
        <v>665</v>
      </c>
      <c r="C181" s="263">
        <v>118884</v>
      </c>
      <c r="D181" s="26"/>
      <c r="E181" s="27"/>
      <c r="F181" s="27"/>
      <c r="G181" s="38"/>
      <c r="H181" s="27"/>
      <c r="I181" s="119">
        <f>SUM(C181:H181)</f>
        <v>118884</v>
      </c>
      <c r="J181" s="232"/>
      <c r="K181" s="22"/>
      <c r="L181" s="30"/>
      <c r="M181" s="23"/>
    </row>
    <row r="182" spans="1:13" s="5" customFormat="1" ht="15">
      <c r="A182" s="120" t="s">
        <v>292</v>
      </c>
      <c r="B182" s="76" t="s">
        <v>293</v>
      </c>
      <c r="C182" s="77">
        <f aca="true" t="shared" si="28" ref="C182:H182">SUM(C183:C189)</f>
        <v>993676</v>
      </c>
      <c r="D182" s="77">
        <f t="shared" si="28"/>
        <v>0</v>
      </c>
      <c r="E182" s="77">
        <f t="shared" si="28"/>
        <v>0</v>
      </c>
      <c r="F182" s="77">
        <f t="shared" si="28"/>
        <v>0</v>
      </c>
      <c r="G182" s="77">
        <f t="shared" si="28"/>
        <v>0</v>
      </c>
      <c r="H182" s="80">
        <f t="shared" si="28"/>
        <v>0</v>
      </c>
      <c r="I182" s="119">
        <f>SUM(C182:H182)</f>
        <v>993676</v>
      </c>
      <c r="J182" s="232"/>
      <c r="K182" s="22"/>
      <c r="L182" s="30"/>
      <c r="M182" s="23"/>
    </row>
    <row r="183" spans="1:13" ht="15">
      <c r="A183" s="35" t="s">
        <v>294</v>
      </c>
      <c r="B183" s="141" t="s">
        <v>295</v>
      </c>
      <c r="C183" s="135">
        <f>243688+2000-5500</f>
        <v>240188</v>
      </c>
      <c r="D183" s="26"/>
      <c r="E183" s="27"/>
      <c r="F183" s="27"/>
      <c r="G183" s="26"/>
      <c r="H183" s="27"/>
      <c r="I183" s="119">
        <f t="shared" si="22"/>
        <v>240188</v>
      </c>
      <c r="J183" s="232"/>
      <c r="K183" s="22"/>
      <c r="L183" s="30"/>
      <c r="M183" s="23"/>
    </row>
    <row r="184" spans="1:13" ht="15">
      <c r="A184" s="35" t="s">
        <v>296</v>
      </c>
      <c r="B184" s="141" t="s">
        <v>297</v>
      </c>
      <c r="C184" s="135">
        <v>362773</v>
      </c>
      <c r="D184" s="26"/>
      <c r="E184" s="27"/>
      <c r="F184" s="27"/>
      <c r="G184" s="26"/>
      <c r="H184" s="27"/>
      <c r="I184" s="119">
        <f t="shared" si="22"/>
        <v>362773</v>
      </c>
      <c r="J184" s="232"/>
      <c r="K184" s="22"/>
      <c r="L184" s="30"/>
      <c r="M184" s="23"/>
    </row>
    <row r="185" spans="1:13" ht="45">
      <c r="A185" s="35" t="s">
        <v>298</v>
      </c>
      <c r="B185" s="183" t="s">
        <v>299</v>
      </c>
      <c r="C185" s="27">
        <v>61000</v>
      </c>
      <c r="D185" s="26"/>
      <c r="E185" s="27"/>
      <c r="F185" s="27"/>
      <c r="G185" s="26"/>
      <c r="H185" s="27"/>
      <c r="I185" s="119">
        <f t="shared" si="22"/>
        <v>61000</v>
      </c>
      <c r="J185" s="232"/>
      <c r="K185" s="22"/>
      <c r="L185" s="30"/>
      <c r="M185" s="23"/>
    </row>
    <row r="186" spans="1:13" ht="15">
      <c r="A186" s="151" t="s">
        <v>300</v>
      </c>
      <c r="B186" s="184" t="s">
        <v>301</v>
      </c>
      <c r="C186" s="150">
        <v>82646</v>
      </c>
      <c r="D186" s="27"/>
      <c r="E186" s="27"/>
      <c r="F186" s="27"/>
      <c r="G186" s="27"/>
      <c r="H186" s="27"/>
      <c r="I186" s="119">
        <f aca="true" t="shared" si="29" ref="I186:I247">SUM(C186:H186)</f>
        <v>82646</v>
      </c>
      <c r="J186" s="232"/>
      <c r="K186" s="22"/>
      <c r="L186" s="30"/>
      <c r="M186" s="23"/>
    </row>
    <row r="187" spans="1:13" ht="15">
      <c r="A187" s="151" t="s">
        <v>302</v>
      </c>
      <c r="B187" s="184" t="s">
        <v>303</v>
      </c>
      <c r="C187" s="150">
        <v>27857</v>
      </c>
      <c r="D187" s="27"/>
      <c r="E187" s="27"/>
      <c r="F187" s="27"/>
      <c r="G187" s="27"/>
      <c r="H187" s="27"/>
      <c r="I187" s="119">
        <f t="shared" si="29"/>
        <v>27857</v>
      </c>
      <c r="J187" s="232"/>
      <c r="K187" s="22"/>
      <c r="L187" s="30"/>
      <c r="M187" s="23"/>
    </row>
    <row r="188" spans="1:13" ht="15">
      <c r="A188" s="151" t="s">
        <v>304</v>
      </c>
      <c r="B188" s="185" t="s">
        <v>305</v>
      </c>
      <c r="C188" s="27">
        <v>13872</v>
      </c>
      <c r="D188" s="27"/>
      <c r="E188" s="27"/>
      <c r="F188" s="27"/>
      <c r="G188" s="27"/>
      <c r="H188" s="27"/>
      <c r="I188" s="119">
        <f t="shared" si="29"/>
        <v>13872</v>
      </c>
      <c r="J188" s="232"/>
      <c r="K188" s="22"/>
      <c r="L188" s="30"/>
      <c r="M188" s="23"/>
    </row>
    <row r="189" spans="1:13" ht="15">
      <c r="A189" s="151" t="s">
        <v>306</v>
      </c>
      <c r="B189" s="185" t="s">
        <v>307</v>
      </c>
      <c r="C189" s="27">
        <v>205340</v>
      </c>
      <c r="D189" s="27"/>
      <c r="E189" s="27"/>
      <c r="F189" s="27"/>
      <c r="G189" s="27"/>
      <c r="H189" s="27"/>
      <c r="I189" s="119">
        <f t="shared" si="29"/>
        <v>205340</v>
      </c>
      <c r="J189" s="232"/>
      <c r="K189" s="22"/>
      <c r="L189" s="30"/>
      <c r="M189" s="23"/>
    </row>
    <row r="190" spans="1:13" ht="15">
      <c r="A190" s="75" t="s">
        <v>308</v>
      </c>
      <c r="B190" s="186" t="s">
        <v>309</v>
      </c>
      <c r="C190" s="80">
        <f aca="true" t="shared" si="30" ref="C190:H190">SUM(C191:C192)</f>
        <v>222895</v>
      </c>
      <c r="D190" s="27">
        <f t="shared" si="30"/>
        <v>0</v>
      </c>
      <c r="E190" s="27">
        <f t="shared" si="30"/>
        <v>0</v>
      </c>
      <c r="F190" s="27">
        <f t="shared" si="30"/>
        <v>0</v>
      </c>
      <c r="G190" s="27">
        <f t="shared" si="30"/>
        <v>0</v>
      </c>
      <c r="H190" s="27">
        <f t="shared" si="30"/>
        <v>0</v>
      </c>
      <c r="I190" s="119">
        <f t="shared" si="29"/>
        <v>222895</v>
      </c>
      <c r="J190" s="232"/>
      <c r="K190" s="22"/>
      <c r="L190" s="30"/>
      <c r="M190" s="23"/>
    </row>
    <row r="191" spans="1:13" ht="15">
      <c r="A191" s="187" t="s">
        <v>310</v>
      </c>
      <c r="B191" s="76" t="s">
        <v>311</v>
      </c>
      <c r="C191" s="135">
        <v>31000</v>
      </c>
      <c r="D191" s="77"/>
      <c r="E191" s="80"/>
      <c r="F191" s="80"/>
      <c r="G191" s="26"/>
      <c r="H191" s="27"/>
      <c r="I191" s="119">
        <f t="shared" si="29"/>
        <v>31000</v>
      </c>
      <c r="J191" s="232"/>
      <c r="K191" s="22"/>
      <c r="L191" s="30"/>
      <c r="M191" s="23"/>
    </row>
    <row r="192" spans="1:13" ht="15" customHeight="1">
      <c r="A192" s="187" t="s">
        <v>312</v>
      </c>
      <c r="B192" s="76" t="s">
        <v>313</v>
      </c>
      <c r="C192" s="27">
        <v>191895</v>
      </c>
      <c r="D192" s="77"/>
      <c r="E192" s="80"/>
      <c r="F192" s="80"/>
      <c r="G192" s="26"/>
      <c r="H192" s="27"/>
      <c r="I192" s="119">
        <f t="shared" si="29"/>
        <v>191895</v>
      </c>
      <c r="J192" s="232"/>
      <c r="K192" s="22"/>
      <c r="L192" s="30"/>
      <c r="M192" s="23"/>
    </row>
    <row r="193" spans="1:13" ht="44.25" thickBot="1">
      <c r="A193" s="189" t="s">
        <v>314</v>
      </c>
      <c r="B193" s="190" t="s">
        <v>315</v>
      </c>
      <c r="C193" s="80">
        <v>18000</v>
      </c>
      <c r="D193" s="77"/>
      <c r="E193" s="80"/>
      <c r="F193" s="80"/>
      <c r="G193" s="26"/>
      <c r="H193" s="27"/>
      <c r="I193" s="119">
        <f t="shared" si="29"/>
        <v>18000</v>
      </c>
      <c r="J193" s="232"/>
      <c r="K193" s="22"/>
      <c r="L193" s="30"/>
      <c r="M193" s="23"/>
    </row>
    <row r="194" spans="1:13" ht="15.75" thickBot="1">
      <c r="A194" s="192" t="s">
        <v>316</v>
      </c>
      <c r="B194" s="158" t="s">
        <v>317</v>
      </c>
      <c r="C194" s="21">
        <f aca="true" t="shared" si="31" ref="C194:H194">C195+C210+C212+C231+C241+C249+C250</f>
        <v>51823827</v>
      </c>
      <c r="D194" s="21">
        <f t="shared" si="31"/>
        <v>0</v>
      </c>
      <c r="E194" s="21">
        <f t="shared" si="31"/>
        <v>0</v>
      </c>
      <c r="F194" s="21">
        <f t="shared" si="31"/>
        <v>0</v>
      </c>
      <c r="G194" s="21">
        <f t="shared" si="31"/>
        <v>0</v>
      </c>
      <c r="H194" s="53">
        <f t="shared" si="31"/>
        <v>0</v>
      </c>
      <c r="I194" s="54">
        <f t="shared" si="29"/>
        <v>51823827</v>
      </c>
      <c r="J194" s="232"/>
      <c r="K194" s="22"/>
      <c r="L194" s="23"/>
      <c r="M194" s="23"/>
    </row>
    <row r="195" spans="1:13" ht="15">
      <c r="A195" s="113" t="s">
        <v>318</v>
      </c>
      <c r="B195" s="114" t="s">
        <v>319</v>
      </c>
      <c r="C195" s="115">
        <f aca="true" t="shared" si="32" ref="C195:H195">SUM(C196:C209)</f>
        <v>14191899</v>
      </c>
      <c r="D195" s="115">
        <f t="shared" si="32"/>
        <v>0</v>
      </c>
      <c r="E195" s="115">
        <f t="shared" si="32"/>
        <v>0</v>
      </c>
      <c r="F195" s="115">
        <f t="shared" si="32"/>
        <v>0</v>
      </c>
      <c r="G195" s="115">
        <f t="shared" si="32"/>
        <v>0</v>
      </c>
      <c r="H195" s="115">
        <f t="shared" si="32"/>
        <v>0</v>
      </c>
      <c r="I195" s="29">
        <f t="shared" si="29"/>
        <v>14191899</v>
      </c>
      <c r="J195" s="232"/>
      <c r="K195" s="22"/>
      <c r="L195" s="30"/>
      <c r="M195" s="23"/>
    </row>
    <row r="196" spans="1:13" ht="15">
      <c r="A196" s="35" t="s">
        <v>320</v>
      </c>
      <c r="B196" s="32" t="s">
        <v>321</v>
      </c>
      <c r="C196" s="27">
        <f>1253288+29482+182800</f>
        <v>1465570</v>
      </c>
      <c r="D196" s="27"/>
      <c r="E196" s="27"/>
      <c r="F196" s="27"/>
      <c r="G196" s="26"/>
      <c r="H196" s="27"/>
      <c r="I196" s="119">
        <f t="shared" si="29"/>
        <v>1465570</v>
      </c>
      <c r="J196" s="232"/>
      <c r="K196" s="22"/>
      <c r="L196" s="30"/>
      <c r="M196" s="23"/>
    </row>
    <row r="197" spans="1:13" ht="15">
      <c r="A197" s="35" t="s">
        <v>322</v>
      </c>
      <c r="B197" s="32" t="s">
        <v>323</v>
      </c>
      <c r="C197" s="27">
        <f>857545+20547+137424</f>
        <v>1015516</v>
      </c>
      <c r="D197" s="27"/>
      <c r="E197" s="27"/>
      <c r="F197" s="27"/>
      <c r="G197" s="26"/>
      <c r="H197" s="27"/>
      <c r="I197" s="119">
        <f t="shared" si="29"/>
        <v>1015516</v>
      </c>
      <c r="J197" s="232"/>
      <c r="K197" s="22"/>
      <c r="L197" s="30"/>
      <c r="M197" s="23"/>
    </row>
    <row r="198" spans="1:13" ht="15">
      <c r="A198" s="35" t="s">
        <v>324</v>
      </c>
      <c r="B198" s="32" t="s">
        <v>325</v>
      </c>
      <c r="C198" s="27">
        <f>860860+21034+152160</f>
        <v>1034054</v>
      </c>
      <c r="D198" s="27"/>
      <c r="E198" s="27"/>
      <c r="F198" s="27"/>
      <c r="G198" s="26"/>
      <c r="H198" s="27"/>
      <c r="I198" s="119">
        <f t="shared" si="29"/>
        <v>1034054</v>
      </c>
      <c r="J198" s="232"/>
      <c r="K198" s="22"/>
      <c r="L198" s="30"/>
      <c r="M198" s="23"/>
    </row>
    <row r="199" spans="1:13" ht="15">
      <c r="A199" s="35" t="s">
        <v>326</v>
      </c>
      <c r="B199" s="32" t="s">
        <v>327</v>
      </c>
      <c r="C199" s="27">
        <f>1059025+25353+143687+2389</f>
        <v>1230454</v>
      </c>
      <c r="D199" s="27"/>
      <c r="E199" s="27"/>
      <c r="F199" s="27"/>
      <c r="G199" s="26"/>
      <c r="H199" s="27"/>
      <c r="I199" s="119">
        <f t="shared" si="29"/>
        <v>1230454</v>
      </c>
      <c r="J199" s="232"/>
      <c r="K199" s="22"/>
      <c r="L199" s="30"/>
      <c r="M199" s="23"/>
    </row>
    <row r="200" spans="1:13" ht="15">
      <c r="A200" s="35" t="s">
        <v>328</v>
      </c>
      <c r="B200" s="32" t="s">
        <v>329</v>
      </c>
      <c r="C200" s="135">
        <f>558099+12785+66415</f>
        <v>637299</v>
      </c>
      <c r="D200" s="27"/>
      <c r="E200" s="27"/>
      <c r="F200" s="27"/>
      <c r="G200" s="26"/>
      <c r="H200" s="27"/>
      <c r="I200" s="119">
        <f t="shared" si="29"/>
        <v>637299</v>
      </c>
      <c r="J200" s="232"/>
      <c r="K200" s="22"/>
      <c r="L200" s="30"/>
      <c r="M200" s="23"/>
    </row>
    <row r="201" spans="1:13" ht="15">
      <c r="A201" s="35" t="s">
        <v>330</v>
      </c>
      <c r="B201" s="32" t="s">
        <v>331</v>
      </c>
      <c r="C201" s="27">
        <f>1192501+28196+171584</f>
        <v>1392281</v>
      </c>
      <c r="D201" s="27"/>
      <c r="E201" s="27"/>
      <c r="F201" s="27"/>
      <c r="G201" s="26"/>
      <c r="H201" s="27"/>
      <c r="I201" s="119">
        <f t="shared" si="29"/>
        <v>1392281</v>
      </c>
      <c r="J201" s="232"/>
      <c r="K201" s="22"/>
      <c r="L201" s="30"/>
      <c r="M201" s="23"/>
    </row>
    <row r="202" spans="1:13" ht="15">
      <c r="A202" s="35" t="s">
        <v>332</v>
      </c>
      <c r="B202" s="32" t="s">
        <v>333</v>
      </c>
      <c r="C202" s="135">
        <f>644293+15684+56552</f>
        <v>716529</v>
      </c>
      <c r="D202" s="27"/>
      <c r="E202" s="27"/>
      <c r="F202" s="27"/>
      <c r="G202" s="26"/>
      <c r="H202" s="27"/>
      <c r="I202" s="119">
        <f t="shared" si="29"/>
        <v>716529</v>
      </c>
      <c r="J202" s="232"/>
      <c r="K202" s="22"/>
      <c r="L202" s="30"/>
      <c r="M202" s="23"/>
    </row>
    <row r="203" spans="1:13" ht="15">
      <c r="A203" s="35" t="s">
        <v>334</v>
      </c>
      <c r="B203" s="32" t="s">
        <v>335</v>
      </c>
      <c r="C203" s="135">
        <f>574894+57720</f>
        <v>632614</v>
      </c>
      <c r="D203" s="27"/>
      <c r="E203" s="27"/>
      <c r="F203" s="27"/>
      <c r="G203" s="26"/>
      <c r="H203" s="27"/>
      <c r="I203" s="119">
        <f t="shared" si="29"/>
        <v>632614</v>
      </c>
      <c r="J203" s="232"/>
      <c r="K203" s="22"/>
      <c r="L203" s="30"/>
      <c r="M203" s="23"/>
    </row>
    <row r="204" spans="1:13" ht="30">
      <c r="A204" s="35" t="s">
        <v>336</v>
      </c>
      <c r="B204" s="32" t="s">
        <v>337</v>
      </c>
      <c r="C204" s="27">
        <v>800000</v>
      </c>
      <c r="D204" s="27"/>
      <c r="E204" s="27"/>
      <c r="F204" s="27"/>
      <c r="G204" s="26"/>
      <c r="H204" s="27"/>
      <c r="I204" s="119">
        <f t="shared" si="29"/>
        <v>800000</v>
      </c>
      <c r="J204" s="232"/>
      <c r="K204" s="22"/>
      <c r="L204" s="30"/>
      <c r="M204" s="23"/>
    </row>
    <row r="205" spans="1:13" ht="15">
      <c r="A205" s="145" t="s">
        <v>338</v>
      </c>
      <c r="B205" s="32" t="s">
        <v>339</v>
      </c>
      <c r="C205" s="135">
        <f>1158429+82522+236000</f>
        <v>1476951</v>
      </c>
      <c r="D205" s="27"/>
      <c r="E205" s="27"/>
      <c r="F205" s="27"/>
      <c r="G205" s="26"/>
      <c r="H205" s="27"/>
      <c r="I205" s="119">
        <f t="shared" si="29"/>
        <v>1476951</v>
      </c>
      <c r="J205" s="232"/>
      <c r="K205" s="22"/>
      <c r="L205" s="30"/>
      <c r="M205" s="23"/>
    </row>
    <row r="206" spans="1:13" ht="15">
      <c r="A206" s="145" t="s">
        <v>340</v>
      </c>
      <c r="B206" s="32" t="s">
        <v>341</v>
      </c>
      <c r="C206" s="135">
        <f>855366+19506+95072</f>
        <v>969944</v>
      </c>
      <c r="D206" s="27"/>
      <c r="E206" s="27"/>
      <c r="F206" s="27"/>
      <c r="G206" s="26"/>
      <c r="H206" s="27"/>
      <c r="I206" s="119">
        <f t="shared" si="29"/>
        <v>969944</v>
      </c>
      <c r="J206" s="232"/>
      <c r="K206" s="22"/>
      <c r="L206" s="30"/>
      <c r="M206" s="23"/>
    </row>
    <row r="207" spans="1:13" ht="15">
      <c r="A207" s="145" t="s">
        <v>342</v>
      </c>
      <c r="B207" s="32" t="s">
        <v>343</v>
      </c>
      <c r="C207" s="135">
        <f>992191+147016</f>
        <v>1139207</v>
      </c>
      <c r="D207" s="27"/>
      <c r="E207" s="27"/>
      <c r="F207" s="27"/>
      <c r="G207" s="26"/>
      <c r="H207" s="27"/>
      <c r="I207" s="119">
        <f t="shared" si="29"/>
        <v>1139207</v>
      </c>
      <c r="J207" s="232"/>
      <c r="K207" s="22"/>
      <c r="L207" s="30"/>
      <c r="M207" s="23"/>
    </row>
    <row r="208" spans="1:13" ht="15">
      <c r="A208" s="145" t="s">
        <v>344</v>
      </c>
      <c r="B208" s="32" t="s">
        <v>345</v>
      </c>
      <c r="C208" s="135">
        <f>387157+39456</f>
        <v>426613</v>
      </c>
      <c r="D208" s="27"/>
      <c r="E208" s="27"/>
      <c r="F208" s="27"/>
      <c r="G208" s="26"/>
      <c r="H208" s="27"/>
      <c r="I208" s="119">
        <f t="shared" si="29"/>
        <v>426613</v>
      </c>
      <c r="J208" s="232"/>
      <c r="K208" s="22"/>
      <c r="L208" s="30"/>
      <c r="M208" s="23"/>
    </row>
    <row r="209" spans="1:13" ht="15">
      <c r="A209" s="145" t="s">
        <v>346</v>
      </c>
      <c r="B209" s="32" t="s">
        <v>347</v>
      </c>
      <c r="C209" s="27">
        <f>1057253+197614</f>
        <v>1254867</v>
      </c>
      <c r="D209" s="27"/>
      <c r="E209" s="27"/>
      <c r="F209" s="27"/>
      <c r="G209" s="26"/>
      <c r="H209" s="27"/>
      <c r="I209" s="119">
        <f t="shared" si="29"/>
        <v>1254867</v>
      </c>
      <c r="J209" s="232"/>
      <c r="K209" s="22"/>
      <c r="L209" s="30"/>
      <c r="M209" s="23"/>
    </row>
    <row r="210" spans="1:13" ht="15">
      <c r="A210" s="120" t="s">
        <v>348</v>
      </c>
      <c r="B210" s="76" t="s">
        <v>349</v>
      </c>
      <c r="C210" s="80">
        <f aca="true" t="shared" si="33" ref="C210:H210">SUM(C211:C211)</f>
        <v>1158622</v>
      </c>
      <c r="D210" s="80">
        <f t="shared" si="33"/>
        <v>0</v>
      </c>
      <c r="E210" s="80">
        <f t="shared" si="33"/>
        <v>0</v>
      </c>
      <c r="F210" s="80">
        <f t="shared" si="33"/>
        <v>0</v>
      </c>
      <c r="G210" s="80">
        <f t="shared" si="33"/>
        <v>0</v>
      </c>
      <c r="H210" s="80">
        <f t="shared" si="33"/>
        <v>0</v>
      </c>
      <c r="I210" s="119">
        <f t="shared" si="29"/>
        <v>1158622</v>
      </c>
      <c r="J210" s="232"/>
      <c r="K210" s="22"/>
      <c r="L210" s="30"/>
      <c r="M210" s="23"/>
    </row>
    <row r="211" spans="1:13" ht="15">
      <c r="A211" s="173" t="s">
        <v>350</v>
      </c>
      <c r="B211" s="174" t="s">
        <v>351</v>
      </c>
      <c r="C211" s="27">
        <f>771435+15623+371564</f>
        <v>1158622</v>
      </c>
      <c r="D211" s="27"/>
      <c r="E211" s="27"/>
      <c r="F211" s="27"/>
      <c r="G211" s="38"/>
      <c r="H211" s="27"/>
      <c r="I211" s="119">
        <f t="shared" si="29"/>
        <v>1158622</v>
      </c>
      <c r="J211" s="232"/>
      <c r="K211" s="22"/>
      <c r="L211" s="30"/>
      <c r="M211" s="23"/>
    </row>
    <row r="212" spans="1:13" ht="29.25">
      <c r="A212" s="120" t="s">
        <v>352</v>
      </c>
      <c r="B212" s="76" t="s">
        <v>353</v>
      </c>
      <c r="C212" s="80">
        <f aca="true" t="shared" si="34" ref="C212:H212">SUM(C213:C230)</f>
        <v>23153854</v>
      </c>
      <c r="D212" s="80">
        <f t="shared" si="34"/>
        <v>0</v>
      </c>
      <c r="E212" s="80">
        <f t="shared" si="34"/>
        <v>0</v>
      </c>
      <c r="F212" s="80">
        <f t="shared" si="34"/>
        <v>0</v>
      </c>
      <c r="G212" s="80">
        <f t="shared" si="34"/>
        <v>0</v>
      </c>
      <c r="H212" s="80">
        <f t="shared" si="34"/>
        <v>0</v>
      </c>
      <c r="I212" s="119">
        <f t="shared" si="29"/>
        <v>23153854</v>
      </c>
      <c r="J212" s="232"/>
      <c r="K212" s="22"/>
      <c r="L212" s="30"/>
      <c r="M212" s="23"/>
    </row>
    <row r="213" spans="1:13" ht="15">
      <c r="A213" s="35" t="s">
        <v>354</v>
      </c>
      <c r="B213" s="32" t="s">
        <v>355</v>
      </c>
      <c r="C213" s="27">
        <f>938855+14436+1745079</f>
        <v>2698370</v>
      </c>
      <c r="D213" s="26"/>
      <c r="E213" s="27"/>
      <c r="F213" s="27"/>
      <c r="G213" s="26"/>
      <c r="H213" s="27"/>
      <c r="I213" s="119">
        <f t="shared" si="29"/>
        <v>2698370</v>
      </c>
      <c r="J213" s="232"/>
      <c r="K213" s="22"/>
      <c r="L213" s="30"/>
      <c r="M213" s="23"/>
    </row>
    <row r="214" spans="1:13" ht="15">
      <c r="A214" s="35" t="s">
        <v>356</v>
      </c>
      <c r="B214" s="32" t="s">
        <v>688</v>
      </c>
      <c r="C214" s="135">
        <f>1090684+6172+1213329</f>
        <v>2310185</v>
      </c>
      <c r="D214" s="26"/>
      <c r="E214" s="27"/>
      <c r="F214" s="27"/>
      <c r="G214" s="26"/>
      <c r="H214" s="27"/>
      <c r="I214" s="119">
        <f t="shared" si="29"/>
        <v>2310185</v>
      </c>
      <c r="J214" s="232"/>
      <c r="K214" s="22"/>
      <c r="L214" s="30"/>
      <c r="M214" s="23"/>
    </row>
    <row r="215" spans="1:13" ht="15">
      <c r="A215" s="35" t="s">
        <v>357</v>
      </c>
      <c r="B215" s="32" t="s">
        <v>358</v>
      </c>
      <c r="C215" s="27">
        <f>586190+8739+762906</f>
        <v>1357835</v>
      </c>
      <c r="D215" s="26"/>
      <c r="E215" s="27"/>
      <c r="F215" s="27"/>
      <c r="G215" s="26"/>
      <c r="H215" s="27"/>
      <c r="I215" s="119">
        <f t="shared" si="29"/>
        <v>1357835</v>
      </c>
      <c r="J215" s="232"/>
      <c r="K215" s="22"/>
      <c r="L215" s="30"/>
      <c r="M215" s="23"/>
    </row>
    <row r="216" spans="1:13" ht="15">
      <c r="A216" s="35" t="s">
        <v>359</v>
      </c>
      <c r="B216" s="32" t="s">
        <v>360</v>
      </c>
      <c r="C216" s="27">
        <f>279012+4258+327593</f>
        <v>610863</v>
      </c>
      <c r="D216" s="26"/>
      <c r="E216" s="27"/>
      <c r="F216" s="27"/>
      <c r="G216" s="26"/>
      <c r="H216" s="27"/>
      <c r="I216" s="119">
        <f t="shared" si="29"/>
        <v>610863</v>
      </c>
      <c r="J216" s="232"/>
      <c r="K216" s="22"/>
      <c r="L216" s="30"/>
      <c r="M216" s="23"/>
    </row>
    <row r="217" spans="1:13" ht="15">
      <c r="A217" s="35" t="s">
        <v>361</v>
      </c>
      <c r="B217" s="32" t="s">
        <v>362</v>
      </c>
      <c r="C217" s="27">
        <f>631519</f>
        <v>631519</v>
      </c>
      <c r="D217" s="26"/>
      <c r="E217" s="27"/>
      <c r="F217" s="27"/>
      <c r="G217" s="26"/>
      <c r="H217" s="27"/>
      <c r="I217" s="119">
        <f t="shared" si="29"/>
        <v>631519</v>
      </c>
      <c r="J217" s="232"/>
      <c r="K217" s="22"/>
      <c r="L217" s="30"/>
      <c r="M217" s="23"/>
    </row>
    <row r="218" spans="1:13" ht="15">
      <c r="A218" s="35" t="s">
        <v>363</v>
      </c>
      <c r="B218" s="32" t="s">
        <v>364</v>
      </c>
      <c r="C218" s="27">
        <f>390102+135580+403709</f>
        <v>929391</v>
      </c>
      <c r="D218" s="26"/>
      <c r="E218" s="27"/>
      <c r="F218" s="27"/>
      <c r="G218" s="26"/>
      <c r="H218" s="27"/>
      <c r="I218" s="119">
        <f t="shared" si="29"/>
        <v>929391</v>
      </c>
      <c r="J218" s="232"/>
      <c r="K218" s="22"/>
      <c r="L218" s="30"/>
      <c r="M218" s="23"/>
    </row>
    <row r="219" spans="1:13" ht="15">
      <c r="A219" s="35" t="s">
        <v>365</v>
      </c>
      <c r="B219" s="32" t="s">
        <v>366</v>
      </c>
      <c r="C219" s="27">
        <f>465844+278769</f>
        <v>744613</v>
      </c>
      <c r="D219" s="26"/>
      <c r="E219" s="27"/>
      <c r="F219" s="27"/>
      <c r="G219" s="26"/>
      <c r="H219" s="27"/>
      <c r="I219" s="119">
        <f t="shared" si="29"/>
        <v>744613</v>
      </c>
      <c r="J219" s="232"/>
      <c r="K219" s="22"/>
      <c r="L219" s="30"/>
      <c r="M219" s="23"/>
    </row>
    <row r="220" spans="1:13" ht="15">
      <c r="A220" s="35" t="s">
        <v>367</v>
      </c>
      <c r="B220" s="32" t="s">
        <v>368</v>
      </c>
      <c r="C220" s="27">
        <f>971871+488096</f>
        <v>1459967</v>
      </c>
      <c r="D220" s="26"/>
      <c r="E220" s="27"/>
      <c r="F220" s="27"/>
      <c r="G220" s="26"/>
      <c r="H220" s="27"/>
      <c r="I220" s="119">
        <f t="shared" si="29"/>
        <v>1459967</v>
      </c>
      <c r="J220" s="232"/>
      <c r="K220" s="22"/>
      <c r="L220" s="30"/>
      <c r="M220" s="23"/>
    </row>
    <row r="221" spans="1:13" ht="30">
      <c r="A221" s="145" t="s">
        <v>369</v>
      </c>
      <c r="B221" s="32" t="s">
        <v>370</v>
      </c>
      <c r="C221" s="135">
        <f>155000+9813</f>
        <v>164813</v>
      </c>
      <c r="D221" s="27"/>
      <c r="E221" s="27"/>
      <c r="F221" s="27"/>
      <c r="G221" s="193"/>
      <c r="H221" s="27"/>
      <c r="I221" s="119">
        <f t="shared" si="29"/>
        <v>164813</v>
      </c>
      <c r="J221" s="232"/>
      <c r="K221" s="22"/>
      <c r="L221" s="30"/>
      <c r="M221" s="23"/>
    </row>
    <row r="222" spans="1:13" ht="15">
      <c r="A222" s="145" t="s">
        <v>371</v>
      </c>
      <c r="B222" s="32" t="s">
        <v>372</v>
      </c>
      <c r="C222" s="27">
        <f>577948+696294</f>
        <v>1274242</v>
      </c>
      <c r="D222" s="27"/>
      <c r="E222" s="27"/>
      <c r="F222" s="27"/>
      <c r="G222" s="38"/>
      <c r="H222" s="27"/>
      <c r="I222" s="119">
        <f t="shared" si="29"/>
        <v>1274242</v>
      </c>
      <c r="J222" s="232"/>
      <c r="K222" s="22"/>
      <c r="L222" s="30"/>
      <c r="M222" s="23"/>
    </row>
    <row r="223" spans="1:13" ht="15">
      <c r="A223" s="145" t="s">
        <v>373</v>
      </c>
      <c r="B223" s="32" t="s">
        <v>374</v>
      </c>
      <c r="C223" s="27">
        <f>329151+250883</f>
        <v>580034</v>
      </c>
      <c r="D223" s="27"/>
      <c r="E223" s="27"/>
      <c r="F223" s="27"/>
      <c r="G223" s="38"/>
      <c r="H223" s="27"/>
      <c r="I223" s="119">
        <f t="shared" si="29"/>
        <v>580034</v>
      </c>
      <c r="J223" s="232"/>
      <c r="K223" s="22"/>
      <c r="L223" s="30"/>
      <c r="M223" s="23"/>
    </row>
    <row r="224" spans="1:13" ht="15">
      <c r="A224" s="145" t="s">
        <v>375</v>
      </c>
      <c r="B224" s="32" t="s">
        <v>376</v>
      </c>
      <c r="C224" s="135">
        <f>705749+25060+564823+15435+56395</f>
        <v>1367462</v>
      </c>
      <c r="D224" s="27"/>
      <c r="E224" s="27"/>
      <c r="F224" s="27"/>
      <c r="G224" s="38"/>
      <c r="H224" s="27"/>
      <c r="I224" s="119">
        <f t="shared" si="29"/>
        <v>1367462</v>
      </c>
      <c r="J224" s="232"/>
      <c r="K224" s="22"/>
      <c r="L224" s="30"/>
      <c r="M224" s="23"/>
    </row>
    <row r="225" spans="1:13" ht="15">
      <c r="A225" s="145" t="s">
        <v>377</v>
      </c>
      <c r="B225" s="32" t="s">
        <v>378</v>
      </c>
      <c r="C225" s="135">
        <f>532513+287199</f>
        <v>819712</v>
      </c>
      <c r="D225" s="27"/>
      <c r="E225" s="27"/>
      <c r="F225" s="27"/>
      <c r="G225" s="38"/>
      <c r="H225" s="27"/>
      <c r="I225" s="119">
        <f t="shared" si="29"/>
        <v>819712</v>
      </c>
      <c r="J225" s="232"/>
      <c r="K225" s="22"/>
      <c r="L225" s="30"/>
      <c r="M225" s="23"/>
    </row>
    <row r="226" spans="1:13" ht="15">
      <c r="A226" s="145" t="s">
        <v>379</v>
      </c>
      <c r="B226" s="32" t="s">
        <v>380</v>
      </c>
      <c r="C226" s="135">
        <f>766822+309754</f>
        <v>1076576</v>
      </c>
      <c r="D226" s="27"/>
      <c r="E226" s="27"/>
      <c r="F226" s="27"/>
      <c r="G226" s="38"/>
      <c r="H226" s="27"/>
      <c r="I226" s="119">
        <f t="shared" si="29"/>
        <v>1076576</v>
      </c>
      <c r="J226" s="232"/>
      <c r="K226" s="22"/>
      <c r="L226" s="30"/>
      <c r="M226" s="23"/>
    </row>
    <row r="227" spans="1:13" ht="15">
      <c r="A227" s="145" t="s">
        <v>381</v>
      </c>
      <c r="B227" s="32" t="s">
        <v>382</v>
      </c>
      <c r="C227" s="135">
        <f>7706+11118+2000+420984+4190+178248+1735</f>
        <v>625981</v>
      </c>
      <c r="D227" s="27"/>
      <c r="E227" s="27"/>
      <c r="F227" s="27"/>
      <c r="G227" s="38"/>
      <c r="H227" s="27"/>
      <c r="I227" s="119">
        <f t="shared" si="29"/>
        <v>625981</v>
      </c>
      <c r="J227" s="232"/>
      <c r="K227" s="22"/>
      <c r="L227" s="30"/>
      <c r="M227" s="23"/>
    </row>
    <row r="228" spans="1:13" ht="15">
      <c r="A228" s="145" t="s">
        <v>383</v>
      </c>
      <c r="B228" s="32" t="s">
        <v>511</v>
      </c>
      <c r="C228" s="135">
        <f>487644+844682</f>
        <v>1332326</v>
      </c>
      <c r="D228" s="27"/>
      <c r="E228" s="27"/>
      <c r="F228" s="27"/>
      <c r="G228" s="38"/>
      <c r="H228" s="27"/>
      <c r="I228" s="119">
        <f t="shared" si="29"/>
        <v>1332326</v>
      </c>
      <c r="J228" s="232"/>
      <c r="K228" s="22"/>
      <c r="L228" s="30"/>
      <c r="M228" s="23"/>
    </row>
    <row r="229" spans="1:13" ht="15">
      <c r="A229" s="145" t="s">
        <v>384</v>
      </c>
      <c r="B229" s="32" t="s">
        <v>385</v>
      </c>
      <c r="C229" s="27">
        <f>967189+13046+1744072</f>
        <v>2724307</v>
      </c>
      <c r="D229" s="27"/>
      <c r="E229" s="27"/>
      <c r="F229" s="27"/>
      <c r="G229" s="182"/>
      <c r="H229" s="27"/>
      <c r="I229" s="119">
        <f t="shared" si="29"/>
        <v>2724307</v>
      </c>
      <c r="J229" s="232"/>
      <c r="K229" s="22"/>
      <c r="L229" s="30"/>
      <c r="M229" s="23"/>
    </row>
    <row r="230" spans="1:13" ht="15">
      <c r="A230" s="145" t="s">
        <v>386</v>
      </c>
      <c r="B230" s="32" t="s">
        <v>387</v>
      </c>
      <c r="C230" s="135">
        <f>854607+1591051</f>
        <v>2445658</v>
      </c>
      <c r="D230" s="27"/>
      <c r="E230" s="27"/>
      <c r="F230" s="27"/>
      <c r="G230" s="193"/>
      <c r="H230" s="27"/>
      <c r="I230" s="119">
        <f t="shared" si="29"/>
        <v>2445658</v>
      </c>
      <c r="J230" s="232"/>
      <c r="K230" s="22"/>
      <c r="L230" s="30"/>
      <c r="M230" s="23"/>
    </row>
    <row r="231" spans="1:13" ht="15" customHeight="1">
      <c r="A231" s="120" t="s">
        <v>388</v>
      </c>
      <c r="B231" s="76" t="s">
        <v>389</v>
      </c>
      <c r="C231" s="80">
        <f aca="true" t="shared" si="35" ref="C231:H231">SUM(C232:C240)</f>
        <v>6298341</v>
      </c>
      <c r="D231" s="80">
        <f t="shared" si="35"/>
        <v>0</v>
      </c>
      <c r="E231" s="80">
        <f t="shared" si="35"/>
        <v>0</v>
      </c>
      <c r="F231" s="80">
        <f t="shared" si="35"/>
        <v>0</v>
      </c>
      <c r="G231" s="80">
        <f t="shared" si="35"/>
        <v>0</v>
      </c>
      <c r="H231" s="80">
        <f t="shared" si="35"/>
        <v>0</v>
      </c>
      <c r="I231" s="119">
        <f t="shared" si="29"/>
        <v>6298341</v>
      </c>
      <c r="J231" s="232"/>
      <c r="K231" s="22"/>
      <c r="L231" s="30"/>
      <c r="M231" s="23"/>
    </row>
    <row r="232" spans="1:13" ht="15">
      <c r="A232" s="35" t="s">
        <v>390</v>
      </c>
      <c r="B232" s="32" t="s">
        <v>391</v>
      </c>
      <c r="C232" s="27">
        <f>1506754+483396+34000</f>
        <v>2024150</v>
      </c>
      <c r="D232" s="26"/>
      <c r="E232" s="27"/>
      <c r="F232" s="27"/>
      <c r="G232" s="26"/>
      <c r="H232" s="27"/>
      <c r="I232" s="119">
        <f t="shared" si="29"/>
        <v>2024150</v>
      </c>
      <c r="J232" s="232"/>
      <c r="K232" s="22"/>
      <c r="L232" s="30"/>
      <c r="M232" s="23"/>
    </row>
    <row r="233" spans="1:13" ht="15">
      <c r="A233" s="35" t="s">
        <v>392</v>
      </c>
      <c r="B233" s="32" t="s">
        <v>393</v>
      </c>
      <c r="C233" s="27">
        <f>354969+6560+250143</f>
        <v>611672</v>
      </c>
      <c r="D233" s="26"/>
      <c r="E233" s="27"/>
      <c r="F233" s="27"/>
      <c r="G233" s="26"/>
      <c r="H233" s="27"/>
      <c r="I233" s="119">
        <f t="shared" si="29"/>
        <v>611672</v>
      </c>
      <c r="J233" s="232"/>
      <c r="K233" s="22"/>
      <c r="L233" s="30"/>
      <c r="M233" s="23"/>
    </row>
    <row r="234" spans="1:13" ht="15">
      <c r="A234" s="35" t="s">
        <v>394</v>
      </c>
      <c r="B234" s="32" t="s">
        <v>395</v>
      </c>
      <c r="C234" s="150">
        <f>473917+120447</f>
        <v>594364</v>
      </c>
      <c r="D234" s="26"/>
      <c r="E234" s="27"/>
      <c r="F234" s="27"/>
      <c r="G234" s="26"/>
      <c r="H234" s="27"/>
      <c r="I234" s="119">
        <f t="shared" si="29"/>
        <v>594364</v>
      </c>
      <c r="J234" s="232"/>
      <c r="K234" s="22"/>
      <c r="L234" s="30"/>
      <c r="M234" s="23"/>
    </row>
    <row r="235" spans="1:13" ht="15">
      <c r="A235" s="35" t="s">
        <v>396</v>
      </c>
      <c r="B235" s="32" t="s">
        <v>397</v>
      </c>
      <c r="C235" s="26">
        <f>210353+64853</f>
        <v>275206</v>
      </c>
      <c r="D235" s="26"/>
      <c r="E235" s="27"/>
      <c r="F235" s="27"/>
      <c r="G235" s="26"/>
      <c r="H235" s="27"/>
      <c r="I235" s="119">
        <f t="shared" si="29"/>
        <v>275206</v>
      </c>
      <c r="J235" s="232"/>
      <c r="K235" s="22"/>
      <c r="L235" s="30"/>
      <c r="M235" s="23"/>
    </row>
    <row r="236" spans="1:13" ht="15">
      <c r="A236" s="35" t="s">
        <v>398</v>
      </c>
      <c r="B236" s="32" t="s">
        <v>399</v>
      </c>
      <c r="C236" s="26">
        <f>865129+17306+565117</f>
        <v>1447552</v>
      </c>
      <c r="D236" s="26"/>
      <c r="E236" s="27"/>
      <c r="F236" s="27"/>
      <c r="G236" s="26"/>
      <c r="H236" s="27"/>
      <c r="I236" s="119">
        <f t="shared" si="29"/>
        <v>1447552</v>
      </c>
      <c r="J236" s="232"/>
      <c r="K236" s="22"/>
      <c r="L236" s="30"/>
      <c r="M236" s="23"/>
    </row>
    <row r="237" spans="1:13" ht="15">
      <c r="A237" s="35" t="s">
        <v>400</v>
      </c>
      <c r="B237" s="32" t="s">
        <v>401</v>
      </c>
      <c r="C237" s="150">
        <f>126608+95490</f>
        <v>222098</v>
      </c>
      <c r="D237" s="26"/>
      <c r="E237" s="27"/>
      <c r="F237" s="27"/>
      <c r="G237" s="26"/>
      <c r="H237" s="27"/>
      <c r="I237" s="119">
        <f t="shared" si="29"/>
        <v>222098</v>
      </c>
      <c r="J237" s="232"/>
      <c r="K237" s="22"/>
      <c r="L237" s="30"/>
      <c r="M237" s="23"/>
    </row>
    <row r="238" spans="1:13" ht="15">
      <c r="A238" s="35" t="s">
        <v>402</v>
      </c>
      <c r="B238" s="32" t="s">
        <v>403</v>
      </c>
      <c r="C238" s="26">
        <f>327720+198148</f>
        <v>525868</v>
      </c>
      <c r="D238" s="26"/>
      <c r="E238" s="27"/>
      <c r="F238" s="27"/>
      <c r="G238" s="26"/>
      <c r="H238" s="27"/>
      <c r="I238" s="119">
        <f t="shared" si="29"/>
        <v>525868</v>
      </c>
      <c r="J238" s="232"/>
      <c r="K238" s="22"/>
      <c r="L238" s="30"/>
      <c r="M238" s="23"/>
    </row>
    <row r="239" spans="1:13" ht="15">
      <c r="A239" s="35" t="s">
        <v>404</v>
      </c>
      <c r="B239" s="32" t="s">
        <v>405</v>
      </c>
      <c r="C239" s="26">
        <f>345334+7506+188591</f>
        <v>541431</v>
      </c>
      <c r="D239" s="26"/>
      <c r="E239" s="27"/>
      <c r="F239" s="27"/>
      <c r="G239" s="26"/>
      <c r="H239" s="27"/>
      <c r="I239" s="119">
        <f t="shared" si="29"/>
        <v>541431</v>
      </c>
      <c r="J239" s="232"/>
      <c r="K239" s="22"/>
      <c r="L239" s="30"/>
      <c r="M239" s="23"/>
    </row>
    <row r="240" spans="1:13" ht="30">
      <c r="A240" s="145" t="s">
        <v>660</v>
      </c>
      <c r="B240" s="32" t="s">
        <v>406</v>
      </c>
      <c r="C240" s="26">
        <v>56000</v>
      </c>
      <c r="D240" s="26"/>
      <c r="E240" s="27"/>
      <c r="F240" s="27"/>
      <c r="G240" s="26"/>
      <c r="H240" s="27"/>
      <c r="I240" s="119">
        <f t="shared" si="29"/>
        <v>56000</v>
      </c>
      <c r="J240" s="232"/>
      <c r="K240" s="22"/>
      <c r="L240" s="30"/>
      <c r="M240" s="23"/>
    </row>
    <row r="241" spans="1:13" ht="15">
      <c r="A241" s="120" t="s">
        <v>407</v>
      </c>
      <c r="B241" s="76" t="s">
        <v>408</v>
      </c>
      <c r="C241" s="77">
        <f aca="true" t="shared" si="36" ref="C241:H241">SUM(C242+C244+C248)</f>
        <v>3054523</v>
      </c>
      <c r="D241" s="77">
        <f t="shared" si="36"/>
        <v>0</v>
      </c>
      <c r="E241" s="77">
        <f t="shared" si="36"/>
        <v>0</v>
      </c>
      <c r="F241" s="77">
        <f t="shared" si="36"/>
        <v>0</v>
      </c>
      <c r="G241" s="77">
        <f t="shared" si="36"/>
        <v>0</v>
      </c>
      <c r="H241" s="77">
        <f t="shared" si="36"/>
        <v>0</v>
      </c>
      <c r="I241" s="119">
        <f t="shared" si="29"/>
        <v>3054523</v>
      </c>
      <c r="J241" s="232"/>
      <c r="K241" s="22"/>
      <c r="L241" s="30"/>
      <c r="M241" s="23"/>
    </row>
    <row r="242" spans="1:13" ht="15">
      <c r="A242" s="121" t="s">
        <v>409</v>
      </c>
      <c r="B242" s="194" t="s">
        <v>410</v>
      </c>
      <c r="C242" s="188">
        <f aca="true" t="shared" si="37" ref="C242:H242">C243</f>
        <v>620358</v>
      </c>
      <c r="D242" s="188">
        <f t="shared" si="37"/>
        <v>0</v>
      </c>
      <c r="E242" s="188">
        <f t="shared" si="37"/>
        <v>0</v>
      </c>
      <c r="F242" s="80">
        <f t="shared" si="37"/>
        <v>0</v>
      </c>
      <c r="G242" s="80">
        <f t="shared" si="37"/>
        <v>0</v>
      </c>
      <c r="H242" s="80">
        <f t="shared" si="37"/>
        <v>0</v>
      </c>
      <c r="I242" s="119">
        <f t="shared" si="29"/>
        <v>620358</v>
      </c>
      <c r="J242" s="232"/>
      <c r="K242" s="22"/>
      <c r="L242" s="30"/>
      <c r="M242" s="23"/>
    </row>
    <row r="243" spans="1:13" ht="15">
      <c r="A243" s="145" t="s">
        <v>411</v>
      </c>
      <c r="B243" s="147" t="s">
        <v>410</v>
      </c>
      <c r="C243" s="135">
        <f>390000+233423-3065</f>
        <v>620358</v>
      </c>
      <c r="D243" s="135"/>
      <c r="E243" s="135"/>
      <c r="F243" s="135"/>
      <c r="G243" s="150"/>
      <c r="H243" s="27"/>
      <c r="I243" s="119">
        <f t="shared" si="29"/>
        <v>620358</v>
      </c>
      <c r="J243" s="232"/>
      <c r="K243" s="22"/>
      <c r="L243" s="30"/>
      <c r="M243" s="23"/>
    </row>
    <row r="244" spans="1:13" ht="15">
      <c r="A244" s="121" t="s">
        <v>412</v>
      </c>
      <c r="B244" s="194" t="s">
        <v>413</v>
      </c>
      <c r="C244" s="80">
        <f aca="true" t="shared" si="38" ref="C244:H244">SUM(C245+C246+C247)</f>
        <v>2430325</v>
      </c>
      <c r="D244" s="80">
        <f t="shared" si="38"/>
        <v>0</v>
      </c>
      <c r="E244" s="80">
        <f t="shared" si="38"/>
        <v>0</v>
      </c>
      <c r="F244" s="80">
        <f t="shared" si="38"/>
        <v>0</v>
      </c>
      <c r="G244" s="80">
        <f t="shared" si="38"/>
        <v>0</v>
      </c>
      <c r="H244" s="80">
        <f t="shared" si="38"/>
        <v>0</v>
      </c>
      <c r="I244" s="119">
        <f t="shared" si="29"/>
        <v>2430325</v>
      </c>
      <c r="J244" s="232"/>
      <c r="K244" s="22"/>
      <c r="L244" s="30"/>
      <c r="M244" s="23"/>
    </row>
    <row r="245" spans="1:13" ht="15">
      <c r="A245" s="145" t="s">
        <v>414</v>
      </c>
      <c r="B245" s="147" t="s">
        <v>415</v>
      </c>
      <c r="C245" s="27">
        <f>500000+25000</f>
        <v>525000</v>
      </c>
      <c r="D245" s="27"/>
      <c r="E245" s="27"/>
      <c r="F245" s="27"/>
      <c r="G245" s="26"/>
      <c r="H245" s="27"/>
      <c r="I245" s="119">
        <f t="shared" si="29"/>
        <v>525000</v>
      </c>
      <c r="J245" s="232"/>
      <c r="K245" s="22"/>
      <c r="L245" s="30"/>
      <c r="M245" s="23"/>
    </row>
    <row r="246" spans="1:13" ht="15">
      <c r="A246" s="145" t="s">
        <v>416</v>
      </c>
      <c r="B246" s="147" t="s">
        <v>417</v>
      </c>
      <c r="C246" s="27">
        <f>791628+791629+322068</f>
        <v>1905325</v>
      </c>
      <c r="D246" s="243"/>
      <c r="E246" s="27"/>
      <c r="F246" s="27"/>
      <c r="G246" s="26"/>
      <c r="H246" s="27"/>
      <c r="I246" s="119">
        <f t="shared" si="29"/>
        <v>1905325</v>
      </c>
      <c r="J246" s="232"/>
      <c r="K246" s="22"/>
      <c r="L246" s="30"/>
      <c r="M246" s="23"/>
    </row>
    <row r="247" spans="1:13" ht="15">
      <c r="A247" s="145" t="s">
        <v>629</v>
      </c>
      <c r="B247" s="147" t="s">
        <v>630</v>
      </c>
      <c r="C247" s="135"/>
      <c r="D247" s="243"/>
      <c r="E247" s="27"/>
      <c r="F247" s="27"/>
      <c r="G247" s="26"/>
      <c r="H247" s="27"/>
      <c r="I247" s="119">
        <f t="shared" si="29"/>
        <v>0</v>
      </c>
      <c r="J247" s="232"/>
      <c r="K247" s="22"/>
      <c r="L247" s="30"/>
      <c r="M247" s="23"/>
    </row>
    <row r="248" spans="1:13" ht="15">
      <c r="A248" s="173" t="s">
        <v>418</v>
      </c>
      <c r="B248" s="174" t="s">
        <v>419</v>
      </c>
      <c r="C248" s="27">
        <v>3840</v>
      </c>
      <c r="D248" s="27"/>
      <c r="E248" s="27"/>
      <c r="F248" s="27"/>
      <c r="G248" s="26"/>
      <c r="H248" s="27"/>
      <c r="I248" s="119">
        <f>SUM(C248:H248)</f>
        <v>3840</v>
      </c>
      <c r="J248" s="232"/>
      <c r="K248" s="22"/>
      <c r="L248" s="30"/>
      <c r="M248" s="23"/>
    </row>
    <row r="249" spans="1:13" ht="15" customHeight="1">
      <c r="A249" s="120" t="s">
        <v>420</v>
      </c>
      <c r="B249" s="76" t="s">
        <v>421</v>
      </c>
      <c r="C249" s="188">
        <f>851211+30627</f>
        <v>881838</v>
      </c>
      <c r="D249" s="80"/>
      <c r="E249" s="80"/>
      <c r="F249" s="80"/>
      <c r="G249" s="77"/>
      <c r="H249" s="80"/>
      <c r="I249" s="119">
        <f>SUM(C249:H249)</f>
        <v>881838</v>
      </c>
      <c r="J249" s="232"/>
      <c r="K249" s="22"/>
      <c r="L249" s="30"/>
      <c r="M249" s="23"/>
    </row>
    <row r="250" spans="1:13" ht="30" thickBot="1">
      <c r="A250" s="195" t="s">
        <v>422</v>
      </c>
      <c r="B250" s="196" t="s">
        <v>423</v>
      </c>
      <c r="C250" s="197">
        <f aca="true" t="shared" si="39" ref="C250:I250">SUM(C251:C277)</f>
        <v>3084750</v>
      </c>
      <c r="D250" s="197">
        <f t="shared" si="39"/>
        <v>0</v>
      </c>
      <c r="E250" s="197">
        <f t="shared" si="39"/>
        <v>0</v>
      </c>
      <c r="F250" s="197">
        <f t="shared" si="39"/>
        <v>0</v>
      </c>
      <c r="G250" s="197">
        <f t="shared" si="39"/>
        <v>0</v>
      </c>
      <c r="H250" s="197">
        <f t="shared" si="39"/>
        <v>0</v>
      </c>
      <c r="I250" s="130">
        <f t="shared" si="39"/>
        <v>3084750</v>
      </c>
      <c r="J250" s="232"/>
      <c r="K250" s="22"/>
      <c r="L250" s="30"/>
      <c r="M250" s="23"/>
    </row>
    <row r="251" spans="1:13" ht="30.75" customHeight="1">
      <c r="A251" s="140" t="s">
        <v>424</v>
      </c>
      <c r="B251" s="141" t="s">
        <v>425</v>
      </c>
      <c r="C251" s="67">
        <v>4822</v>
      </c>
      <c r="D251" s="138"/>
      <c r="E251" s="138"/>
      <c r="F251" s="138"/>
      <c r="G251" s="191"/>
      <c r="H251" s="115"/>
      <c r="I251" s="117">
        <f aca="true" t="shared" si="40" ref="I251:I288">SUM(C251:H251)</f>
        <v>4822</v>
      </c>
      <c r="J251" s="232"/>
      <c r="K251" s="22"/>
      <c r="L251" s="30"/>
      <c r="M251" s="23"/>
    </row>
    <row r="252" spans="1:13" ht="30.75" customHeight="1">
      <c r="A252" s="198" t="s">
        <v>426</v>
      </c>
      <c r="B252" s="199" t="s">
        <v>427</v>
      </c>
      <c r="C252" s="26">
        <v>2439</v>
      </c>
      <c r="D252" s="77"/>
      <c r="E252" s="77"/>
      <c r="F252" s="77"/>
      <c r="G252" s="77"/>
      <c r="H252" s="80"/>
      <c r="I252" s="119">
        <f t="shared" si="40"/>
        <v>2439</v>
      </c>
      <c r="J252" s="232"/>
      <c r="K252" s="22"/>
      <c r="L252" s="30"/>
      <c r="M252" s="23"/>
    </row>
    <row r="253" spans="1:13" ht="15.75">
      <c r="A253" s="198" t="s">
        <v>428</v>
      </c>
      <c r="B253" s="200" t="s">
        <v>429</v>
      </c>
      <c r="C253" s="26">
        <v>99302</v>
      </c>
      <c r="D253" s="77"/>
      <c r="E253" s="77"/>
      <c r="F253" s="77"/>
      <c r="G253" s="77"/>
      <c r="H253" s="80"/>
      <c r="I253" s="119">
        <f t="shared" si="40"/>
        <v>99302</v>
      </c>
      <c r="J253" s="232"/>
      <c r="K253" s="22"/>
      <c r="L253" s="30"/>
      <c r="M253" s="23"/>
    </row>
    <row r="254" spans="1:13" ht="31.5">
      <c r="A254" s="198" t="s">
        <v>430</v>
      </c>
      <c r="B254" s="200" t="s">
        <v>431</v>
      </c>
      <c r="C254" s="27">
        <v>33892</v>
      </c>
      <c r="D254" s="26"/>
      <c r="E254" s="27"/>
      <c r="F254" s="27"/>
      <c r="G254" s="26"/>
      <c r="H254" s="27"/>
      <c r="I254" s="119">
        <f t="shared" si="40"/>
        <v>33892</v>
      </c>
      <c r="J254" s="232"/>
      <c r="K254" s="22"/>
      <c r="L254" s="30"/>
      <c r="M254" s="23"/>
    </row>
    <row r="255" spans="1:13" ht="30">
      <c r="A255" s="198" t="s">
        <v>432</v>
      </c>
      <c r="B255" s="202" t="s">
        <v>433</v>
      </c>
      <c r="C255" s="27">
        <v>1422259</v>
      </c>
      <c r="D255" s="26"/>
      <c r="E255" s="27"/>
      <c r="F255" s="27"/>
      <c r="G255" s="26"/>
      <c r="H255" s="27"/>
      <c r="I255" s="119">
        <f t="shared" si="40"/>
        <v>1422259</v>
      </c>
      <c r="J255" s="232"/>
      <c r="K255" s="22"/>
      <c r="L255" s="30"/>
      <c r="M255" s="23"/>
    </row>
    <row r="256" spans="1:13" ht="30">
      <c r="A256" s="143" t="s">
        <v>434</v>
      </c>
      <c r="B256" s="202" t="s">
        <v>435</v>
      </c>
      <c r="C256" s="27">
        <v>5000</v>
      </c>
      <c r="D256" s="26"/>
      <c r="E256" s="27"/>
      <c r="F256" s="27"/>
      <c r="G256" s="26"/>
      <c r="H256" s="27"/>
      <c r="I256" s="119">
        <f t="shared" si="40"/>
        <v>5000</v>
      </c>
      <c r="J256" s="232"/>
      <c r="K256" s="22"/>
      <c r="L256" s="30"/>
      <c r="M256" s="23"/>
    </row>
    <row r="257" spans="1:13" ht="28.5" customHeight="1">
      <c r="A257" s="140" t="s">
        <v>436</v>
      </c>
      <c r="B257" s="203" t="s">
        <v>437</v>
      </c>
      <c r="C257" s="27">
        <v>153</v>
      </c>
      <c r="D257" s="26"/>
      <c r="E257" s="27"/>
      <c r="F257" s="27"/>
      <c r="G257" s="26"/>
      <c r="H257" s="27"/>
      <c r="I257" s="119">
        <f t="shared" si="40"/>
        <v>153</v>
      </c>
      <c r="J257" s="232"/>
      <c r="K257" s="22"/>
      <c r="L257" s="30"/>
      <c r="M257" s="23"/>
    </row>
    <row r="258" spans="1:13" ht="30">
      <c r="A258" s="35" t="s">
        <v>438</v>
      </c>
      <c r="B258" s="204" t="s">
        <v>439</v>
      </c>
      <c r="C258" s="27">
        <v>76012</v>
      </c>
      <c r="D258" s="27"/>
      <c r="E258" s="27"/>
      <c r="F258" s="27"/>
      <c r="G258" s="26"/>
      <c r="H258" s="27"/>
      <c r="I258" s="119">
        <f t="shared" si="40"/>
        <v>76012</v>
      </c>
      <c r="J258" s="232"/>
      <c r="K258" s="22"/>
      <c r="L258" s="30"/>
      <c r="M258" s="23"/>
    </row>
    <row r="259" spans="1:13" ht="30">
      <c r="A259" s="155" t="s">
        <v>440</v>
      </c>
      <c r="B259" s="206" t="s">
        <v>441</v>
      </c>
      <c r="C259" s="150">
        <v>304782</v>
      </c>
      <c r="D259" s="26"/>
      <c r="E259" s="26"/>
      <c r="F259" s="26"/>
      <c r="G259" s="26"/>
      <c r="H259" s="27"/>
      <c r="I259" s="29">
        <f t="shared" si="40"/>
        <v>304782</v>
      </c>
      <c r="J259" s="232"/>
      <c r="K259" s="22"/>
      <c r="L259" s="30"/>
      <c r="M259" s="23"/>
    </row>
    <row r="260" spans="1:13" ht="30">
      <c r="A260" s="155" t="s">
        <v>442</v>
      </c>
      <c r="B260" s="206" t="s">
        <v>443</v>
      </c>
      <c r="C260" s="26">
        <v>5373</v>
      </c>
      <c r="D260" s="26"/>
      <c r="E260" s="26"/>
      <c r="F260" s="26"/>
      <c r="G260" s="26"/>
      <c r="H260" s="27"/>
      <c r="I260" s="29">
        <f t="shared" si="40"/>
        <v>5373</v>
      </c>
      <c r="J260" s="232"/>
      <c r="K260" s="22"/>
      <c r="L260" s="30"/>
      <c r="M260" s="23"/>
    </row>
    <row r="261" spans="1:13" ht="30">
      <c r="A261" s="155" t="s">
        <v>444</v>
      </c>
      <c r="B261" s="206" t="s">
        <v>445</v>
      </c>
      <c r="C261" s="26">
        <v>10800</v>
      </c>
      <c r="D261" s="26"/>
      <c r="E261" s="26"/>
      <c r="F261" s="26"/>
      <c r="G261" s="26"/>
      <c r="H261" s="27"/>
      <c r="I261" s="29">
        <f t="shared" si="40"/>
        <v>10800</v>
      </c>
      <c r="J261" s="232"/>
      <c r="K261" s="22"/>
      <c r="L261" s="30"/>
      <c r="M261" s="23"/>
    </row>
    <row r="262" spans="1:13" ht="15">
      <c r="A262" s="155" t="s">
        <v>446</v>
      </c>
      <c r="B262" s="206" t="s">
        <v>447</v>
      </c>
      <c r="C262" s="26">
        <v>18000</v>
      </c>
      <c r="D262" s="26"/>
      <c r="E262" s="26"/>
      <c r="F262" s="26"/>
      <c r="G262" s="26"/>
      <c r="H262" s="27"/>
      <c r="I262" s="29">
        <f t="shared" si="40"/>
        <v>18000</v>
      </c>
      <c r="J262" s="232"/>
      <c r="K262" s="22"/>
      <c r="L262" s="30"/>
      <c r="M262" s="23"/>
    </row>
    <row r="263" spans="1:13" ht="45">
      <c r="A263" s="155" t="s">
        <v>448</v>
      </c>
      <c r="B263" s="206" t="s">
        <v>449</v>
      </c>
      <c r="C263" s="26">
        <v>44454</v>
      </c>
      <c r="D263" s="26"/>
      <c r="E263" s="26"/>
      <c r="F263" s="26"/>
      <c r="G263" s="26"/>
      <c r="H263" s="27"/>
      <c r="I263" s="29">
        <f t="shared" si="40"/>
        <v>44454</v>
      </c>
      <c r="J263" s="232"/>
      <c r="K263" s="22"/>
      <c r="L263" s="30"/>
      <c r="M263" s="23"/>
    </row>
    <row r="264" spans="1:13" ht="45">
      <c r="A264" s="245" t="s">
        <v>517</v>
      </c>
      <c r="B264" s="206" t="s">
        <v>518</v>
      </c>
      <c r="C264" s="26">
        <v>2803</v>
      </c>
      <c r="D264" s="26"/>
      <c r="E264" s="26"/>
      <c r="F264" s="26"/>
      <c r="G264" s="26"/>
      <c r="H264" s="27"/>
      <c r="I264" s="29">
        <f t="shared" si="40"/>
        <v>2803</v>
      </c>
      <c r="J264" s="232"/>
      <c r="K264" s="22"/>
      <c r="L264" s="30"/>
      <c r="M264" s="23"/>
    </row>
    <row r="265" spans="1:13" ht="15">
      <c r="A265" s="210" t="s">
        <v>523</v>
      </c>
      <c r="B265" s="206" t="s">
        <v>524</v>
      </c>
      <c r="C265" s="27">
        <v>0</v>
      </c>
      <c r="D265" s="27"/>
      <c r="E265" s="27"/>
      <c r="F265" s="27"/>
      <c r="G265" s="27"/>
      <c r="H265" s="27"/>
      <c r="I265" s="29">
        <f t="shared" si="40"/>
        <v>0</v>
      </c>
      <c r="J265" s="232"/>
      <c r="K265" s="22"/>
      <c r="L265" s="30"/>
      <c r="M265" s="23"/>
    </row>
    <row r="266" spans="1:13" ht="30">
      <c r="A266" s="155" t="s">
        <v>631</v>
      </c>
      <c r="B266" s="247" t="s">
        <v>632</v>
      </c>
      <c r="C266" s="67">
        <v>758650</v>
      </c>
      <c r="D266" s="67"/>
      <c r="E266" s="67"/>
      <c r="F266" s="67"/>
      <c r="G266" s="67"/>
      <c r="H266" s="67"/>
      <c r="I266" s="29">
        <f t="shared" si="40"/>
        <v>758650</v>
      </c>
      <c r="J266" s="22"/>
      <c r="K266" s="22"/>
      <c r="L266" s="30"/>
      <c r="M266" s="23"/>
    </row>
    <row r="267" spans="1:13" ht="45">
      <c r="A267" s="245" t="s">
        <v>633</v>
      </c>
      <c r="B267" s="247" t="s">
        <v>634</v>
      </c>
      <c r="C267" s="26">
        <v>54810</v>
      </c>
      <c r="D267" s="26"/>
      <c r="E267" s="26"/>
      <c r="F267" s="26"/>
      <c r="G267" s="26"/>
      <c r="H267" s="27"/>
      <c r="I267" s="29">
        <f t="shared" si="40"/>
        <v>54810</v>
      </c>
      <c r="J267" s="232"/>
      <c r="K267" s="22"/>
      <c r="L267" s="30"/>
      <c r="M267" s="23"/>
    </row>
    <row r="268" spans="1:13" ht="45">
      <c r="A268" s="245" t="s">
        <v>635</v>
      </c>
      <c r="B268" s="247" t="s">
        <v>636</v>
      </c>
      <c r="C268" s="26">
        <v>11990</v>
      </c>
      <c r="D268" s="26"/>
      <c r="E268" s="26"/>
      <c r="F268" s="26"/>
      <c r="G268" s="26"/>
      <c r="H268" s="27"/>
      <c r="I268" s="29">
        <f t="shared" si="40"/>
        <v>11990</v>
      </c>
      <c r="J268" s="232"/>
      <c r="K268" s="22"/>
      <c r="L268" s="30"/>
      <c r="M268" s="23"/>
    </row>
    <row r="269" spans="1:13" ht="45">
      <c r="A269" s="245" t="s">
        <v>637</v>
      </c>
      <c r="B269" s="247" t="s">
        <v>638</v>
      </c>
      <c r="C269" s="26">
        <v>10379</v>
      </c>
      <c r="D269" s="26"/>
      <c r="E269" s="26"/>
      <c r="F269" s="26"/>
      <c r="G269" s="26"/>
      <c r="H269" s="27"/>
      <c r="I269" s="29">
        <f t="shared" si="40"/>
        <v>10379</v>
      </c>
      <c r="J269" s="232"/>
      <c r="K269" s="22"/>
      <c r="L269" s="30"/>
      <c r="M269" s="23"/>
    </row>
    <row r="270" spans="1:13" ht="60">
      <c r="A270" s="248" t="s">
        <v>639</v>
      </c>
      <c r="B270" s="249" t="s">
        <v>640</v>
      </c>
      <c r="C270" s="26">
        <v>13678</v>
      </c>
      <c r="D270" s="26"/>
      <c r="E270" s="26"/>
      <c r="F270" s="26"/>
      <c r="G270" s="26"/>
      <c r="H270" s="27"/>
      <c r="I270" s="29">
        <f t="shared" si="40"/>
        <v>13678</v>
      </c>
      <c r="J270" s="232"/>
      <c r="K270" s="22"/>
      <c r="L270" s="30"/>
      <c r="M270" s="23"/>
    </row>
    <row r="271" spans="1:13" ht="30">
      <c r="A271" s="248" t="s">
        <v>641</v>
      </c>
      <c r="B271" s="249" t="s">
        <v>642</v>
      </c>
      <c r="C271" s="26">
        <v>58110</v>
      </c>
      <c r="D271" s="26"/>
      <c r="E271" s="26"/>
      <c r="F271" s="26"/>
      <c r="G271" s="26"/>
      <c r="H271" s="27"/>
      <c r="I271" s="29">
        <f t="shared" si="40"/>
        <v>58110</v>
      </c>
      <c r="J271" s="232"/>
      <c r="K271" s="22"/>
      <c r="L271" s="30"/>
      <c r="M271" s="23"/>
    </row>
    <row r="272" spans="1:13" ht="45">
      <c r="A272" s="248" t="s">
        <v>643</v>
      </c>
      <c r="B272" s="247" t="s">
        <v>644</v>
      </c>
      <c r="C272" s="26">
        <v>44845</v>
      </c>
      <c r="D272" s="26"/>
      <c r="E272" s="26"/>
      <c r="F272" s="26"/>
      <c r="G272" s="26"/>
      <c r="H272" s="27"/>
      <c r="I272" s="29">
        <f t="shared" si="40"/>
        <v>44845</v>
      </c>
      <c r="J272" s="232"/>
      <c r="K272" s="22"/>
      <c r="L272" s="30"/>
      <c r="M272" s="23"/>
    </row>
    <row r="273" spans="1:13" ht="45">
      <c r="A273" s="248" t="s">
        <v>645</v>
      </c>
      <c r="B273" s="247" t="s">
        <v>646</v>
      </c>
      <c r="C273" s="26">
        <v>68220</v>
      </c>
      <c r="D273" s="26"/>
      <c r="E273" s="26"/>
      <c r="F273" s="26"/>
      <c r="G273" s="26"/>
      <c r="H273" s="27"/>
      <c r="I273" s="29">
        <f t="shared" si="40"/>
        <v>68220</v>
      </c>
      <c r="J273" s="232"/>
      <c r="K273" s="22"/>
      <c r="L273" s="30"/>
      <c r="M273" s="23"/>
    </row>
    <row r="274" spans="1:13" ht="30">
      <c r="A274" s="245" t="s">
        <v>647</v>
      </c>
      <c r="B274" s="247" t="s">
        <v>648</v>
      </c>
      <c r="C274" s="27">
        <v>157</v>
      </c>
      <c r="D274" s="27"/>
      <c r="E274" s="27"/>
      <c r="F274" s="27"/>
      <c r="G274" s="27"/>
      <c r="H274" s="27"/>
      <c r="I274" s="29">
        <f t="shared" si="40"/>
        <v>157</v>
      </c>
      <c r="J274" s="232"/>
      <c r="K274" s="22"/>
      <c r="L274" s="30"/>
      <c r="M274" s="23"/>
    </row>
    <row r="275" spans="1:13" ht="45">
      <c r="A275" s="245" t="s">
        <v>667</v>
      </c>
      <c r="B275" s="247" t="s">
        <v>669</v>
      </c>
      <c r="C275" s="27">
        <v>500</v>
      </c>
      <c r="D275" s="27"/>
      <c r="E275" s="27"/>
      <c r="F275" s="27"/>
      <c r="G275" s="27"/>
      <c r="H275" s="27"/>
      <c r="I275" s="29">
        <f>SUM(C275:H275)</f>
        <v>500</v>
      </c>
      <c r="J275" s="232"/>
      <c r="K275" s="22"/>
      <c r="L275" s="30"/>
      <c r="M275" s="23"/>
    </row>
    <row r="276" spans="1:13" ht="60">
      <c r="A276" s="245" t="s">
        <v>668</v>
      </c>
      <c r="B276" s="247" t="s">
        <v>670</v>
      </c>
      <c r="C276" s="26">
        <v>13320</v>
      </c>
      <c r="D276" s="26"/>
      <c r="E276" s="26"/>
      <c r="F276" s="26"/>
      <c r="G276" s="26"/>
      <c r="H276" s="27"/>
      <c r="I276" s="29">
        <f>SUM(C276:H276)</f>
        <v>13320</v>
      </c>
      <c r="J276" s="232"/>
      <c r="K276" s="22"/>
      <c r="L276" s="30"/>
      <c r="M276" s="23"/>
    </row>
    <row r="277" spans="1:13" ht="30.75" thickBot="1">
      <c r="A277" s="248" t="s">
        <v>678</v>
      </c>
      <c r="B277" s="249" t="s">
        <v>679</v>
      </c>
      <c r="C277" s="46">
        <v>20000</v>
      </c>
      <c r="D277" s="46"/>
      <c r="E277" s="46"/>
      <c r="F277" s="46"/>
      <c r="G277" s="46"/>
      <c r="H277" s="50"/>
      <c r="I277" s="52">
        <f t="shared" si="40"/>
        <v>20000</v>
      </c>
      <c r="J277" s="232"/>
      <c r="K277" s="22"/>
      <c r="L277" s="30"/>
      <c r="M277" s="23"/>
    </row>
    <row r="278" spans="1:13" ht="15.75" thickBot="1">
      <c r="A278" s="68" t="s">
        <v>450</v>
      </c>
      <c r="B278" s="20" t="s">
        <v>451</v>
      </c>
      <c r="C278" s="53">
        <f aca="true" t="shared" si="41" ref="C278:H278">SUM(C279+C280+C281+C282+C291)</f>
        <v>9308528</v>
      </c>
      <c r="D278" s="53">
        <f t="shared" si="41"/>
        <v>53961</v>
      </c>
      <c r="E278" s="53">
        <f t="shared" si="41"/>
        <v>0</v>
      </c>
      <c r="F278" s="53">
        <f t="shared" si="41"/>
        <v>941767</v>
      </c>
      <c r="G278" s="53">
        <f t="shared" si="41"/>
        <v>0</v>
      </c>
      <c r="H278" s="53">
        <f t="shared" si="41"/>
        <v>0</v>
      </c>
      <c r="I278" s="54">
        <f t="shared" si="40"/>
        <v>10304256</v>
      </c>
      <c r="J278" s="232"/>
      <c r="K278" s="22"/>
      <c r="L278" s="23"/>
      <c r="M278" s="23"/>
    </row>
    <row r="279" spans="1:13" ht="16.5" customHeight="1">
      <c r="A279" s="113" t="s">
        <v>452</v>
      </c>
      <c r="B279" s="114" t="s">
        <v>453</v>
      </c>
      <c r="C279" s="115">
        <v>536942</v>
      </c>
      <c r="D279" s="74"/>
      <c r="E279" s="115"/>
      <c r="F279" s="115"/>
      <c r="G279" s="74"/>
      <c r="H279" s="80"/>
      <c r="I279" s="119">
        <f t="shared" si="40"/>
        <v>536942</v>
      </c>
      <c r="J279" s="232"/>
      <c r="K279" s="22"/>
      <c r="L279" s="30"/>
      <c r="M279" s="23"/>
    </row>
    <row r="280" spans="1:13" ht="15">
      <c r="A280" s="113" t="s">
        <v>454</v>
      </c>
      <c r="B280" s="114" t="s">
        <v>455</v>
      </c>
      <c r="C280" s="264">
        <f>283+28200</f>
        <v>28483</v>
      </c>
      <c r="D280" s="115"/>
      <c r="E280" s="115"/>
      <c r="F280" s="115"/>
      <c r="G280" s="74"/>
      <c r="H280" s="80"/>
      <c r="I280" s="119">
        <f t="shared" si="40"/>
        <v>28483</v>
      </c>
      <c r="J280" s="232"/>
      <c r="K280" s="22"/>
      <c r="L280" s="30"/>
      <c r="M280" s="23"/>
    </row>
    <row r="281" spans="1:13" ht="15">
      <c r="A281" s="113" t="s">
        <v>456</v>
      </c>
      <c r="B281" s="114" t="s">
        <v>457</v>
      </c>
      <c r="C281" s="115"/>
      <c r="D281" s="61"/>
      <c r="E281" s="62"/>
      <c r="F281" s="62"/>
      <c r="G281" s="61"/>
      <c r="H281" s="27"/>
      <c r="I281" s="119">
        <f t="shared" si="40"/>
        <v>0</v>
      </c>
      <c r="J281" s="232"/>
      <c r="K281" s="22"/>
      <c r="L281" s="30"/>
      <c r="M281" s="23"/>
    </row>
    <row r="282" spans="1:13" ht="29.25">
      <c r="A282" s="120" t="s">
        <v>458</v>
      </c>
      <c r="B282" s="76" t="s">
        <v>459</v>
      </c>
      <c r="C282" s="77">
        <f aca="true" t="shared" si="42" ref="C282:H282">SUM(C283:C290)</f>
        <v>8345724</v>
      </c>
      <c r="D282" s="77">
        <f t="shared" si="42"/>
        <v>53961</v>
      </c>
      <c r="E282" s="77">
        <f t="shared" si="42"/>
        <v>0</v>
      </c>
      <c r="F282" s="77">
        <f t="shared" si="42"/>
        <v>941767</v>
      </c>
      <c r="G282" s="77">
        <f t="shared" si="42"/>
        <v>0</v>
      </c>
      <c r="H282" s="80">
        <f t="shared" si="42"/>
        <v>0</v>
      </c>
      <c r="I282" s="119">
        <f>SUM(C282:H282)</f>
        <v>9341452</v>
      </c>
      <c r="J282" s="232"/>
      <c r="K282" s="22"/>
      <c r="L282" s="30"/>
      <c r="M282" s="23"/>
    </row>
    <row r="283" spans="1:14" ht="15">
      <c r="A283" s="35" t="s">
        <v>460</v>
      </c>
      <c r="B283" s="32" t="s">
        <v>461</v>
      </c>
      <c r="C283" s="135">
        <v>2929734</v>
      </c>
      <c r="D283" s="26">
        <v>53961</v>
      </c>
      <c r="E283" s="27"/>
      <c r="F283" s="27"/>
      <c r="G283" s="82"/>
      <c r="H283" s="27"/>
      <c r="I283" s="119">
        <f t="shared" si="40"/>
        <v>2983695</v>
      </c>
      <c r="J283" s="232"/>
      <c r="K283" s="22"/>
      <c r="L283" s="30"/>
      <c r="M283" s="23"/>
      <c r="N283" s="105"/>
    </row>
    <row r="284" spans="1:14" ht="15">
      <c r="A284" s="35" t="s">
        <v>462</v>
      </c>
      <c r="B284" s="32" t="s">
        <v>463</v>
      </c>
      <c r="C284" s="258">
        <v>3737829</v>
      </c>
      <c r="D284" s="26"/>
      <c r="E284" s="27"/>
      <c r="F284" s="27"/>
      <c r="G284" s="82"/>
      <c r="H284" s="27"/>
      <c r="I284" s="119">
        <f t="shared" si="40"/>
        <v>3737829</v>
      </c>
      <c r="J284" s="232"/>
      <c r="K284" s="22"/>
      <c r="L284" s="23"/>
      <c r="M284" s="23"/>
      <c r="N284" s="105"/>
    </row>
    <row r="285" spans="1:13" ht="15">
      <c r="A285" s="35" t="s">
        <v>464</v>
      </c>
      <c r="B285" s="32" t="s">
        <v>465</v>
      </c>
      <c r="C285" s="27">
        <v>1389601</v>
      </c>
      <c r="D285" s="26"/>
      <c r="E285" s="27"/>
      <c r="F285" s="27"/>
      <c r="G285" s="26"/>
      <c r="H285" s="27"/>
      <c r="I285" s="119">
        <f t="shared" si="40"/>
        <v>1389601</v>
      </c>
      <c r="J285" s="232"/>
      <c r="K285" s="22"/>
      <c r="L285" s="30"/>
      <c r="M285" s="23"/>
    </row>
    <row r="286" spans="1:13" ht="15">
      <c r="A286" s="252" t="s">
        <v>466</v>
      </c>
      <c r="B286" s="253" t="s">
        <v>467</v>
      </c>
      <c r="C286" s="27"/>
      <c r="D286" s="26"/>
      <c r="E286" s="27"/>
      <c r="F286" s="27">
        <v>941767</v>
      </c>
      <c r="G286" s="26"/>
      <c r="H286" s="27"/>
      <c r="I286" s="119">
        <f t="shared" si="40"/>
        <v>941767</v>
      </c>
      <c r="J286" s="232"/>
      <c r="K286" s="22"/>
      <c r="L286" s="30"/>
      <c r="M286" s="23"/>
    </row>
    <row r="287" spans="1:13" ht="30">
      <c r="A287" s="35" t="s">
        <v>468</v>
      </c>
      <c r="B287" s="207" t="s">
        <v>469</v>
      </c>
      <c r="C287" s="26">
        <v>21610</v>
      </c>
      <c r="D287" s="26"/>
      <c r="E287" s="27"/>
      <c r="F287" s="27"/>
      <c r="G287" s="26"/>
      <c r="H287" s="27"/>
      <c r="I287" s="119">
        <f t="shared" si="40"/>
        <v>21610</v>
      </c>
      <c r="J287" s="232"/>
      <c r="K287" s="22"/>
      <c r="L287" s="30"/>
      <c r="M287" s="23"/>
    </row>
    <row r="288" spans="1:13" ht="15">
      <c r="A288" s="35" t="s">
        <v>470</v>
      </c>
      <c r="B288" s="32" t="s">
        <v>471</v>
      </c>
      <c r="C288" s="135">
        <f>82160+3600</f>
        <v>85760</v>
      </c>
      <c r="D288" s="26"/>
      <c r="E288" s="27"/>
      <c r="F288" s="27"/>
      <c r="G288" s="26"/>
      <c r="H288" s="27"/>
      <c r="I288" s="119">
        <f t="shared" si="40"/>
        <v>85760</v>
      </c>
      <c r="J288" s="232"/>
      <c r="K288" s="22"/>
      <c r="L288" s="30"/>
      <c r="M288" s="23"/>
    </row>
    <row r="289" spans="1:13" ht="75">
      <c r="A289" s="143" t="s">
        <v>649</v>
      </c>
      <c r="B289" s="250" t="s">
        <v>650</v>
      </c>
      <c r="C289" s="27">
        <v>48340</v>
      </c>
      <c r="D289" s="27"/>
      <c r="E289" s="27"/>
      <c r="F289" s="27"/>
      <c r="G289" s="27"/>
      <c r="H289" s="27"/>
      <c r="I289" s="119">
        <f aca="true" t="shared" si="43" ref="I289:I298">SUM(C289:H289)</f>
        <v>48340</v>
      </c>
      <c r="J289" s="232"/>
      <c r="K289" s="22"/>
      <c r="L289" s="30"/>
      <c r="M289" s="23"/>
    </row>
    <row r="290" spans="1:13" ht="45">
      <c r="A290" s="210" t="s">
        <v>677</v>
      </c>
      <c r="B290" s="260" t="s">
        <v>675</v>
      </c>
      <c r="C290" s="27">
        <v>132850</v>
      </c>
      <c r="D290" s="27"/>
      <c r="E290" s="27"/>
      <c r="F290" s="27"/>
      <c r="G290" s="27"/>
      <c r="H290" s="27"/>
      <c r="I290" s="119">
        <f t="shared" si="43"/>
        <v>132850</v>
      </c>
      <c r="J290" s="232"/>
      <c r="K290" s="22"/>
      <c r="L290" s="30"/>
      <c r="M290" s="23"/>
    </row>
    <row r="291" spans="1:13" ht="15" customHeight="1">
      <c r="A291" s="208" t="s">
        <v>472</v>
      </c>
      <c r="B291" s="209" t="s">
        <v>473</v>
      </c>
      <c r="C291" s="80">
        <f aca="true" t="shared" si="44" ref="C291:H291">SUM(C292:C292)</f>
        <v>397379</v>
      </c>
      <c r="D291" s="27">
        <f t="shared" si="44"/>
        <v>0</v>
      </c>
      <c r="E291" s="27">
        <f t="shared" si="44"/>
        <v>0</v>
      </c>
      <c r="F291" s="27">
        <f t="shared" si="44"/>
        <v>0</v>
      </c>
      <c r="G291" s="27">
        <f t="shared" si="44"/>
        <v>0</v>
      </c>
      <c r="H291" s="27">
        <f t="shared" si="44"/>
        <v>0</v>
      </c>
      <c r="I291" s="119">
        <f t="shared" si="43"/>
        <v>397379</v>
      </c>
      <c r="J291" s="232"/>
      <c r="K291" s="22"/>
      <c r="L291" s="30"/>
      <c r="M291" s="23"/>
    </row>
    <row r="292" spans="1:13" ht="34.5" customHeight="1" thickBot="1">
      <c r="A292" s="155" t="s">
        <v>474</v>
      </c>
      <c r="B292" s="201" t="s">
        <v>475</v>
      </c>
      <c r="C292" s="135">
        <f>64779+332600</f>
        <v>397379</v>
      </c>
      <c r="D292" s="27"/>
      <c r="E292" s="27"/>
      <c r="F292" s="27"/>
      <c r="G292" s="27"/>
      <c r="H292" s="27"/>
      <c r="I292" s="119">
        <f t="shared" si="43"/>
        <v>397379</v>
      </c>
      <c r="J292" s="232"/>
      <c r="K292" s="22"/>
      <c r="L292" s="30"/>
      <c r="M292" s="23"/>
    </row>
    <row r="293" spans="1:13" ht="15.75" thickBot="1">
      <c r="A293" s="211"/>
      <c r="B293" s="20" t="s">
        <v>476</v>
      </c>
      <c r="C293" s="53">
        <f aca="true" t="shared" si="45" ref="C293:H293">C7+C17+C23+C56+C74+C124+C130+C194+C278</f>
        <v>103370593</v>
      </c>
      <c r="D293" s="53">
        <f t="shared" si="45"/>
        <v>4081509</v>
      </c>
      <c r="E293" s="53">
        <f t="shared" si="45"/>
        <v>2099863</v>
      </c>
      <c r="F293" s="21">
        <f t="shared" si="45"/>
        <v>941767</v>
      </c>
      <c r="G293" s="21">
        <f t="shared" si="45"/>
        <v>572797</v>
      </c>
      <c r="H293" s="53">
        <f t="shared" si="45"/>
        <v>672832</v>
      </c>
      <c r="I293" s="54">
        <f t="shared" si="43"/>
        <v>111739361</v>
      </c>
      <c r="J293" s="232"/>
      <c r="K293" s="22"/>
      <c r="L293" s="23"/>
      <c r="M293" s="23"/>
    </row>
    <row r="294" spans="1:14" ht="15">
      <c r="A294" s="103" t="s">
        <v>477</v>
      </c>
      <c r="B294" s="111" t="s">
        <v>478</v>
      </c>
      <c r="C294" s="106">
        <v>7117370</v>
      </c>
      <c r="D294" s="106"/>
      <c r="E294" s="106"/>
      <c r="F294" s="22"/>
      <c r="G294" s="22"/>
      <c r="H294" s="106"/>
      <c r="I294" s="22">
        <f t="shared" si="43"/>
        <v>7117370</v>
      </c>
      <c r="J294" s="232"/>
      <c r="K294" s="22"/>
      <c r="L294" s="30"/>
      <c r="M294" s="23"/>
      <c r="N294" s="131"/>
    </row>
    <row r="295" spans="1:11" ht="29.25">
      <c r="A295" s="103" t="s">
        <v>479</v>
      </c>
      <c r="B295" s="212" t="s">
        <v>480</v>
      </c>
      <c r="C295" s="237"/>
      <c r="D295" s="106"/>
      <c r="E295" s="106"/>
      <c r="F295" s="22"/>
      <c r="G295" s="106"/>
      <c r="H295" s="106"/>
      <c r="I295" s="22">
        <f t="shared" si="43"/>
        <v>0</v>
      </c>
      <c r="J295" s="232"/>
      <c r="K295" s="22"/>
    </row>
    <row r="296" spans="1:11" ht="29.25">
      <c r="A296" s="103" t="s">
        <v>479</v>
      </c>
      <c r="B296" s="212" t="s">
        <v>481</v>
      </c>
      <c r="C296" s="105"/>
      <c r="D296" s="105"/>
      <c r="E296" s="105"/>
      <c r="F296" s="85"/>
      <c r="G296" s="105"/>
      <c r="H296" s="105"/>
      <c r="I296" s="22">
        <f t="shared" si="43"/>
        <v>0</v>
      </c>
      <c r="J296" s="232"/>
      <c r="K296" s="22"/>
    </row>
    <row r="297" spans="1:11" ht="29.25">
      <c r="A297" s="103"/>
      <c r="B297" s="212" t="s">
        <v>482</v>
      </c>
      <c r="C297" s="105"/>
      <c r="D297" s="105"/>
      <c r="E297" s="105"/>
      <c r="F297" s="85"/>
      <c r="G297" s="105"/>
      <c r="H297" s="105"/>
      <c r="I297" s="22">
        <f t="shared" si="43"/>
        <v>0</v>
      </c>
      <c r="J297" s="232"/>
      <c r="K297" s="22"/>
    </row>
    <row r="298" spans="1:13" ht="30">
      <c r="A298" s="213" t="s">
        <v>483</v>
      </c>
      <c r="B298" s="214" t="s">
        <v>484</v>
      </c>
      <c r="C298" s="105">
        <v>3299055</v>
      </c>
      <c r="D298" s="105">
        <v>1161395</v>
      </c>
      <c r="E298" s="105">
        <v>1474</v>
      </c>
      <c r="F298" s="85"/>
      <c r="G298" s="105">
        <v>70316</v>
      </c>
      <c r="H298" s="105">
        <v>108816</v>
      </c>
      <c r="I298" s="22">
        <f t="shared" si="43"/>
        <v>4641056</v>
      </c>
      <c r="J298" s="232"/>
      <c r="K298" s="22"/>
      <c r="M298" s="105"/>
    </row>
    <row r="299" spans="1:11" ht="30">
      <c r="A299" s="215" t="s">
        <v>485</v>
      </c>
      <c r="B299" s="216" t="s">
        <v>486</v>
      </c>
      <c r="C299" s="22">
        <v>2941385</v>
      </c>
      <c r="D299" s="22">
        <v>-923996</v>
      </c>
      <c r="E299" s="22">
        <v>-1498026</v>
      </c>
      <c r="F299" s="22">
        <v>-8748</v>
      </c>
      <c r="G299" s="22">
        <v>-90615</v>
      </c>
      <c r="H299" s="22">
        <v>-420000</v>
      </c>
      <c r="I299" s="22">
        <v>0</v>
      </c>
      <c r="J299" s="22"/>
      <c r="K299" s="22"/>
    </row>
    <row r="300" spans="1:11" ht="15">
      <c r="A300" s="105"/>
      <c r="B300" s="217"/>
      <c r="C300" s="22"/>
      <c r="D300" s="22"/>
      <c r="E300" s="22"/>
      <c r="F300" s="22"/>
      <c r="G300" s="22"/>
      <c r="H300" s="22"/>
      <c r="I300" s="22"/>
      <c r="J300" s="22"/>
      <c r="K300" s="22"/>
    </row>
    <row r="301" spans="1:11" ht="15">
      <c r="A301" s="105"/>
      <c r="B301" s="2" t="s">
        <v>72</v>
      </c>
      <c r="C301" s="105"/>
      <c r="D301" s="105" t="s">
        <v>73</v>
      </c>
      <c r="E301" s="105"/>
      <c r="F301" s="262"/>
      <c r="G301" s="105"/>
      <c r="H301" s="105"/>
      <c r="I301" s="218"/>
      <c r="J301" s="218"/>
      <c r="K301" s="218"/>
    </row>
    <row r="302" spans="1:11" ht="15">
      <c r="A302" s="105"/>
      <c r="C302" s="105"/>
      <c r="D302" s="105"/>
      <c r="E302" s="105"/>
      <c r="F302" s="105"/>
      <c r="G302" s="105"/>
      <c r="H302" s="105"/>
      <c r="I302" s="218"/>
      <c r="J302" s="218"/>
      <c r="K302" s="218"/>
    </row>
    <row r="303" spans="1:11" ht="15">
      <c r="A303" s="105"/>
      <c r="B303" s="219"/>
      <c r="C303" s="105"/>
      <c r="D303" s="105"/>
      <c r="E303" s="105"/>
      <c r="F303" s="105"/>
      <c r="G303" s="105"/>
      <c r="H303" s="105"/>
      <c r="I303" s="106"/>
      <c r="J303" s="106"/>
      <c r="K303" s="106"/>
    </row>
    <row r="304" spans="1:11" ht="44.25" customHeight="1" thickBot="1">
      <c r="A304" s="271" t="s">
        <v>691</v>
      </c>
      <c r="B304" s="271"/>
      <c r="C304" s="271"/>
      <c r="D304" s="105"/>
      <c r="E304" s="105"/>
      <c r="F304" s="105"/>
      <c r="G304" s="105"/>
      <c r="H304" s="105"/>
      <c r="I304" s="106"/>
      <c r="J304" s="106"/>
      <c r="K304" s="106"/>
    </row>
    <row r="305" spans="1:13" ht="105.75" thickBot="1">
      <c r="A305" s="10" t="s">
        <v>3</v>
      </c>
      <c r="B305" s="11" t="s">
        <v>4</v>
      </c>
      <c r="C305" s="12" t="s">
        <v>655</v>
      </c>
      <c r="D305" s="13" t="s">
        <v>651</v>
      </c>
      <c r="E305" s="14" t="s">
        <v>652</v>
      </c>
      <c r="F305" s="14" t="s">
        <v>656</v>
      </c>
      <c r="G305" s="14" t="s">
        <v>653</v>
      </c>
      <c r="H305" s="15" t="s">
        <v>658</v>
      </c>
      <c r="I305" s="16" t="s">
        <v>657</v>
      </c>
      <c r="J305" s="17"/>
      <c r="K305" s="17"/>
      <c r="L305" s="18"/>
      <c r="M305" s="18"/>
    </row>
    <row r="306" spans="1:12" ht="15">
      <c r="A306" s="220">
        <v>1100</v>
      </c>
      <c r="B306" s="70" t="s">
        <v>487</v>
      </c>
      <c r="C306" s="92">
        <v>43658005</v>
      </c>
      <c r="D306" s="92">
        <v>1288625</v>
      </c>
      <c r="E306" s="92">
        <v>968945</v>
      </c>
      <c r="F306" s="221">
        <v>527555</v>
      </c>
      <c r="G306" s="222">
        <v>89415</v>
      </c>
      <c r="H306" s="223">
        <v>246145</v>
      </c>
      <c r="I306" s="224">
        <f aca="true" t="shared" si="46" ref="I306:I329">SUM(C306:H306)</f>
        <v>46778690</v>
      </c>
      <c r="J306" s="232"/>
      <c r="K306" s="22"/>
      <c r="L306" s="23"/>
    </row>
    <row r="307" spans="1:12" ht="45">
      <c r="A307" s="75">
        <v>1200</v>
      </c>
      <c r="B307" s="32" t="s">
        <v>488</v>
      </c>
      <c r="C307" s="26">
        <v>13378460</v>
      </c>
      <c r="D307" s="26">
        <v>338678</v>
      </c>
      <c r="E307" s="26">
        <v>263712</v>
      </c>
      <c r="F307" s="225">
        <v>145131</v>
      </c>
      <c r="G307" s="182">
        <v>27536</v>
      </c>
      <c r="H307" s="226">
        <v>75576</v>
      </c>
      <c r="I307" s="119">
        <f t="shared" si="46"/>
        <v>14229093</v>
      </c>
      <c r="J307" s="232"/>
      <c r="K307" s="22"/>
      <c r="L307" s="23"/>
    </row>
    <row r="308" spans="1:12" ht="15">
      <c r="A308" s="75">
        <v>2000</v>
      </c>
      <c r="B308" s="32" t="s">
        <v>489</v>
      </c>
      <c r="C308" s="26">
        <f aca="true" t="shared" si="47" ref="C308:H308">SUM(C309:C313)</f>
        <v>22267751</v>
      </c>
      <c r="D308" s="26">
        <f t="shared" si="47"/>
        <v>1757383</v>
      </c>
      <c r="E308" s="26">
        <f t="shared" si="47"/>
        <v>704094</v>
      </c>
      <c r="F308" s="26">
        <f t="shared" si="47"/>
        <v>269081</v>
      </c>
      <c r="G308" s="26">
        <f t="shared" si="47"/>
        <v>411246</v>
      </c>
      <c r="H308" s="26">
        <f t="shared" si="47"/>
        <v>244634</v>
      </c>
      <c r="I308" s="119">
        <f>SUM(C308:H308)</f>
        <v>25654189</v>
      </c>
      <c r="J308" s="232"/>
      <c r="K308" s="22"/>
      <c r="L308" s="23"/>
    </row>
    <row r="309" spans="1:12" ht="30">
      <c r="A309" s="75">
        <v>2100</v>
      </c>
      <c r="B309" s="32" t="s">
        <v>490</v>
      </c>
      <c r="C309" s="26">
        <v>306953</v>
      </c>
      <c r="D309" s="26">
        <v>2500</v>
      </c>
      <c r="E309" s="26"/>
      <c r="F309" s="26"/>
      <c r="G309" s="33"/>
      <c r="H309" s="226">
        <v>800</v>
      </c>
      <c r="I309" s="119">
        <f t="shared" si="46"/>
        <v>310253</v>
      </c>
      <c r="J309" s="232"/>
      <c r="K309" s="22"/>
      <c r="L309" s="23"/>
    </row>
    <row r="310" spans="1:12" ht="15">
      <c r="A310" s="75">
        <v>2200</v>
      </c>
      <c r="B310" s="32" t="s">
        <v>491</v>
      </c>
      <c r="C310" s="26">
        <v>16339038</v>
      </c>
      <c r="D310" s="26">
        <v>1241920</v>
      </c>
      <c r="E310" s="26">
        <v>498940</v>
      </c>
      <c r="F310" s="26">
        <v>107194</v>
      </c>
      <c r="G310" s="33">
        <v>387851</v>
      </c>
      <c r="H310" s="226">
        <f>189292-1</f>
        <v>189291</v>
      </c>
      <c r="I310" s="119">
        <f t="shared" si="46"/>
        <v>18764234</v>
      </c>
      <c r="J310" s="232"/>
      <c r="K310" s="22"/>
      <c r="L310" s="23"/>
    </row>
    <row r="311" spans="1:12" ht="30">
      <c r="A311" s="75">
        <v>2300</v>
      </c>
      <c r="B311" s="32" t="s">
        <v>492</v>
      </c>
      <c r="C311" s="26">
        <v>5410780</v>
      </c>
      <c r="D311" s="26">
        <v>243827</v>
      </c>
      <c r="E311" s="26">
        <v>192454</v>
      </c>
      <c r="F311" s="26">
        <v>161887</v>
      </c>
      <c r="G311" s="33">
        <v>11880</v>
      </c>
      <c r="H311" s="226">
        <v>54293</v>
      </c>
      <c r="I311" s="119">
        <f t="shared" si="46"/>
        <v>6075121</v>
      </c>
      <c r="J311" s="232"/>
      <c r="K311" s="22"/>
      <c r="L311" s="23"/>
    </row>
    <row r="312" spans="1:12" ht="15">
      <c r="A312" s="75">
        <v>2400</v>
      </c>
      <c r="B312" s="32" t="s">
        <v>493</v>
      </c>
      <c r="C312" s="26">
        <v>30897</v>
      </c>
      <c r="D312" s="26"/>
      <c r="E312" s="26"/>
      <c r="F312" s="26"/>
      <c r="G312" s="33"/>
      <c r="H312" s="226"/>
      <c r="I312" s="119">
        <f t="shared" si="46"/>
        <v>30897</v>
      </c>
      <c r="J312" s="232"/>
      <c r="K312" s="22"/>
      <c r="L312" s="23"/>
    </row>
    <row r="313" spans="1:12" ht="15">
      <c r="A313" s="75">
        <v>2500</v>
      </c>
      <c r="B313" s="32" t="s">
        <v>494</v>
      </c>
      <c r="C313" s="26">
        <v>180083</v>
      </c>
      <c r="D313" s="26">
        <v>269136</v>
      </c>
      <c r="E313" s="26">
        <v>12700</v>
      </c>
      <c r="F313" s="26"/>
      <c r="G313" s="33">
        <v>11515</v>
      </c>
      <c r="H313" s="226">
        <v>250</v>
      </c>
      <c r="I313" s="119">
        <f t="shared" si="46"/>
        <v>473684</v>
      </c>
      <c r="J313" s="232"/>
      <c r="K313" s="22"/>
      <c r="L313" s="23"/>
    </row>
    <row r="314" spans="1:12" ht="30">
      <c r="A314" s="75">
        <v>3200</v>
      </c>
      <c r="B314" s="32" t="s">
        <v>495</v>
      </c>
      <c r="C314" s="26">
        <v>5729882</v>
      </c>
      <c r="D314" s="26"/>
      <c r="E314" s="26"/>
      <c r="F314" s="26"/>
      <c r="G314" s="33"/>
      <c r="H314" s="226"/>
      <c r="I314" s="119">
        <f t="shared" si="46"/>
        <v>5729882</v>
      </c>
      <c r="J314" s="232"/>
      <c r="K314" s="22"/>
      <c r="L314" s="23"/>
    </row>
    <row r="315" spans="1:12" ht="15">
      <c r="A315" s="75">
        <v>4200</v>
      </c>
      <c r="B315" s="32" t="s">
        <v>496</v>
      </c>
      <c r="C315" s="26"/>
      <c r="D315" s="26"/>
      <c r="E315" s="26"/>
      <c r="F315" s="26"/>
      <c r="G315" s="33"/>
      <c r="H315" s="226"/>
      <c r="I315" s="119">
        <f t="shared" si="46"/>
        <v>0</v>
      </c>
      <c r="J315" s="232"/>
      <c r="K315" s="22"/>
      <c r="L315" s="23"/>
    </row>
    <row r="316" spans="1:12" ht="15">
      <c r="A316" s="75">
        <v>4300</v>
      </c>
      <c r="B316" s="32" t="s">
        <v>497</v>
      </c>
      <c r="C316" s="26">
        <v>4458330</v>
      </c>
      <c r="D316" s="26"/>
      <c r="E316" s="26"/>
      <c r="F316" s="26"/>
      <c r="G316" s="33"/>
      <c r="H316" s="226"/>
      <c r="I316" s="119">
        <f t="shared" si="46"/>
        <v>4458330</v>
      </c>
      <c r="J316" s="232"/>
      <c r="K316" s="22"/>
      <c r="L316" s="23"/>
    </row>
    <row r="317" spans="1:12" ht="15">
      <c r="A317" s="75">
        <v>5100</v>
      </c>
      <c r="B317" s="32" t="s">
        <v>498</v>
      </c>
      <c r="C317" s="26">
        <v>151687</v>
      </c>
      <c r="D317" s="26">
        <v>5000</v>
      </c>
      <c r="E317" s="26">
        <v>4784</v>
      </c>
      <c r="F317" s="26"/>
      <c r="G317" s="33"/>
      <c r="H317" s="226"/>
      <c r="I317" s="119">
        <f t="shared" si="46"/>
        <v>161471</v>
      </c>
      <c r="J317" s="232"/>
      <c r="K317" s="22"/>
      <c r="L317" s="23"/>
    </row>
    <row r="318" spans="1:12" ht="15">
      <c r="A318" s="75">
        <v>5200</v>
      </c>
      <c r="B318" s="32" t="s">
        <v>499</v>
      </c>
      <c r="C318" s="26">
        <f>8367495+34000</f>
        <v>8401495</v>
      </c>
      <c r="D318" s="26">
        <v>691823</v>
      </c>
      <c r="E318" s="26">
        <f>192328-34000</f>
        <v>158328</v>
      </c>
      <c r="F318" s="26"/>
      <c r="G318" s="33">
        <v>44600</v>
      </c>
      <c r="H318" s="226">
        <v>106477</v>
      </c>
      <c r="I318" s="119">
        <f t="shared" si="46"/>
        <v>9402723</v>
      </c>
      <c r="J318" s="232"/>
      <c r="K318" s="22"/>
      <c r="L318" s="23"/>
    </row>
    <row r="319" spans="1:12" ht="15">
      <c r="A319" s="75">
        <v>6200</v>
      </c>
      <c r="B319" s="32" t="s">
        <v>500</v>
      </c>
      <c r="C319" s="26">
        <v>1279125</v>
      </c>
      <c r="D319" s="26"/>
      <c r="E319" s="26"/>
      <c r="F319" s="26"/>
      <c r="G319" s="33"/>
      <c r="H319" s="226"/>
      <c r="I319" s="119">
        <f t="shared" si="46"/>
        <v>1279125</v>
      </c>
      <c r="J319" s="232"/>
      <c r="K319" s="22"/>
      <c r="L319" s="23"/>
    </row>
    <row r="320" spans="1:12" ht="15">
      <c r="A320" s="75">
        <v>6300</v>
      </c>
      <c r="B320" s="32" t="s">
        <v>501</v>
      </c>
      <c r="C320" s="26">
        <v>918000</v>
      </c>
      <c r="D320" s="26"/>
      <c r="E320" s="26"/>
      <c r="F320" s="26"/>
      <c r="G320" s="33"/>
      <c r="H320" s="226"/>
      <c r="I320" s="119">
        <f t="shared" si="46"/>
        <v>918000</v>
      </c>
      <c r="J320" s="232"/>
      <c r="K320" s="22"/>
      <c r="L320" s="23"/>
    </row>
    <row r="321" spans="1:12" ht="30">
      <c r="A321" s="75">
        <v>6400</v>
      </c>
      <c r="B321" s="32" t="s">
        <v>502</v>
      </c>
      <c r="C321" s="26">
        <v>2257531</v>
      </c>
      <c r="D321" s="26"/>
      <c r="E321" s="26"/>
      <c r="F321" s="26"/>
      <c r="G321" s="33"/>
      <c r="H321" s="226"/>
      <c r="I321" s="119">
        <f t="shared" si="46"/>
        <v>2257531</v>
      </c>
      <c r="J321" s="232"/>
      <c r="K321" s="22"/>
      <c r="L321" s="23"/>
    </row>
    <row r="322" spans="1:12" ht="30">
      <c r="A322" s="75">
        <v>6500</v>
      </c>
      <c r="B322" s="32" t="s">
        <v>503</v>
      </c>
      <c r="C322" s="26">
        <v>467</v>
      </c>
      <c r="D322" s="26"/>
      <c r="E322" s="26"/>
      <c r="F322" s="26"/>
      <c r="G322" s="33"/>
      <c r="H322" s="226"/>
      <c r="I322" s="119">
        <f t="shared" si="46"/>
        <v>467</v>
      </c>
      <c r="J322" s="232"/>
      <c r="K322" s="22"/>
      <c r="L322" s="23"/>
    </row>
    <row r="323" spans="1:12" ht="15">
      <c r="A323" s="75">
        <v>7200</v>
      </c>
      <c r="B323" s="32" t="s">
        <v>504</v>
      </c>
      <c r="C323" s="26">
        <v>860000</v>
      </c>
      <c r="D323" s="26"/>
      <c r="E323" s="26"/>
      <c r="F323" s="26"/>
      <c r="G323" s="33"/>
      <c r="H323" s="226"/>
      <c r="I323" s="119">
        <f t="shared" si="46"/>
        <v>860000</v>
      </c>
      <c r="J323" s="232"/>
      <c r="K323" s="22"/>
      <c r="L323" s="23"/>
    </row>
    <row r="324" spans="1:12" ht="30">
      <c r="A324" s="75">
        <v>7400</v>
      </c>
      <c r="B324" s="32" t="s">
        <v>505</v>
      </c>
      <c r="C324" s="26">
        <v>9860</v>
      </c>
      <c r="D324" s="26"/>
      <c r="E324" s="26"/>
      <c r="F324" s="26"/>
      <c r="G324" s="33"/>
      <c r="H324" s="39"/>
      <c r="I324" s="119">
        <f t="shared" si="46"/>
        <v>9860</v>
      </c>
      <c r="J324" s="232"/>
      <c r="K324" s="22"/>
      <c r="L324" s="23"/>
    </row>
    <row r="325" spans="1:12" ht="15">
      <c r="A325" s="75">
        <v>7700</v>
      </c>
      <c r="B325" s="32" t="s">
        <v>506</v>
      </c>
      <c r="C325" s="26"/>
      <c r="D325" s="26"/>
      <c r="E325" s="26"/>
      <c r="F325" s="26"/>
      <c r="G325" s="33"/>
      <c r="H325" s="39"/>
      <c r="I325" s="119">
        <f t="shared" si="46"/>
        <v>0</v>
      </c>
      <c r="J325" s="232"/>
      <c r="K325" s="22"/>
      <c r="L325" s="23"/>
    </row>
    <row r="326" spans="1:12" ht="15">
      <c r="A326" s="75">
        <v>8100</v>
      </c>
      <c r="B326" s="26" t="s">
        <v>507</v>
      </c>
      <c r="C326" s="26"/>
      <c r="D326" s="26"/>
      <c r="E326" s="26"/>
      <c r="F326" s="26"/>
      <c r="G326" s="33"/>
      <c r="H326" s="39"/>
      <c r="I326" s="119">
        <f t="shared" si="46"/>
        <v>0</v>
      </c>
      <c r="J326" s="232"/>
      <c r="K326" s="22"/>
      <c r="L326" s="23"/>
    </row>
    <row r="327" spans="1:12" ht="45">
      <c r="A327" s="75">
        <v>8900</v>
      </c>
      <c r="B327" s="48" t="s">
        <v>508</v>
      </c>
      <c r="C327" s="50"/>
      <c r="D327" s="50"/>
      <c r="E327" s="50"/>
      <c r="F327" s="50"/>
      <c r="G327" s="26"/>
      <c r="H327" s="44"/>
      <c r="I327" s="119">
        <f t="shared" si="46"/>
        <v>0</v>
      </c>
      <c r="J327" s="232"/>
      <c r="K327" s="22"/>
      <c r="L327" s="23"/>
    </row>
    <row r="328" spans="1:12" ht="15.75" thickBot="1">
      <c r="A328" s="64">
        <v>9000</v>
      </c>
      <c r="B328" s="227" t="s">
        <v>509</v>
      </c>
      <c r="C328" s="71"/>
      <c r="D328" s="71"/>
      <c r="E328" s="71"/>
      <c r="F328" s="71"/>
      <c r="G328" s="71"/>
      <c r="H328" s="228"/>
      <c r="I328" s="119">
        <f t="shared" si="46"/>
        <v>0</v>
      </c>
      <c r="J328" s="232"/>
      <c r="K328" s="22"/>
      <c r="L328" s="23"/>
    </row>
    <row r="329" spans="1:12" ht="15.75" thickBot="1">
      <c r="A329" s="211"/>
      <c r="B329" s="167" t="s">
        <v>510</v>
      </c>
      <c r="C329" s="229">
        <f aca="true" t="shared" si="48" ref="C329:H329">SUM(C306:C308,C314:C328)</f>
        <v>103370593</v>
      </c>
      <c r="D329" s="229">
        <f t="shared" si="48"/>
        <v>4081509</v>
      </c>
      <c r="E329" s="229">
        <f t="shared" si="48"/>
        <v>2099863</v>
      </c>
      <c r="F329" s="229">
        <f t="shared" si="48"/>
        <v>941767</v>
      </c>
      <c r="G329" s="229">
        <f t="shared" si="48"/>
        <v>572797</v>
      </c>
      <c r="H329" s="229">
        <f t="shared" si="48"/>
        <v>672832</v>
      </c>
      <c r="I329" s="54">
        <f t="shared" si="46"/>
        <v>111739361</v>
      </c>
      <c r="J329" s="232"/>
      <c r="K329" s="22"/>
      <c r="L329" s="23"/>
    </row>
    <row r="330" spans="2:6" ht="15">
      <c r="B330" s="230"/>
      <c r="C330" s="9"/>
      <c r="D330" s="105"/>
      <c r="E330" s="105"/>
      <c r="F330" s="105"/>
    </row>
    <row r="331" spans="2:11" ht="15">
      <c r="B331" s="230"/>
      <c r="C331" s="9"/>
      <c r="D331" s="105"/>
      <c r="E331" s="105"/>
      <c r="F331" s="105"/>
      <c r="I331" s="106"/>
      <c r="J331" s="106"/>
      <c r="K331" s="106"/>
    </row>
    <row r="332" spans="2:6" ht="15">
      <c r="B332" s="17" t="s">
        <v>72</v>
      </c>
      <c r="C332" s="9"/>
      <c r="D332" s="105" t="s">
        <v>73</v>
      </c>
      <c r="E332" s="105"/>
      <c r="F332" s="105"/>
    </row>
    <row r="337" ht="15">
      <c r="B337" s="17"/>
    </row>
  </sheetData>
  <sheetProtection/>
  <mergeCells count="2">
    <mergeCell ref="A5:C5"/>
    <mergeCell ref="A304:C304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Elga Dzedzele</dc:creator>
  <cp:keywords/>
  <dc:description/>
  <cp:lastModifiedBy>Santa Hermane</cp:lastModifiedBy>
  <cp:lastPrinted>2024-02-14T08:55:31Z</cp:lastPrinted>
  <dcterms:created xsi:type="dcterms:W3CDTF">2022-11-04T07:21:49Z</dcterms:created>
  <dcterms:modified xsi:type="dcterms:W3CDTF">2024-02-14T08:55:52Z</dcterms:modified>
  <cp:category/>
  <cp:version/>
  <cp:contentType/>
  <cp:contentStatus/>
</cp:coreProperties>
</file>