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 tabRatio="883" firstSheet="14" activeTab="25"/>
  </bookViews>
  <sheets>
    <sheet name="PII" sheetId="12" r:id="rId1"/>
    <sheet name="Skolas" sheetId="13" r:id="rId2"/>
    <sheet name="Mākslas un mūzikas" sheetId="15" r:id="rId3"/>
    <sheet name="Sp.centri un inter." sheetId="16" r:id="rId4"/>
    <sheet name="Pārējās izglītības funkc." sheetId="56" r:id="rId5"/>
    <sheet name="Soc. aizsardzība" sheetId="69" r:id="rId6"/>
    <sheet name="Izpildvara" sheetId="21" r:id="rId7"/>
    <sheet name="Polic. " sheetId="68" r:id="rId8"/>
    <sheet name="Uzņēmējdarb. attīst." sheetId="2" r:id="rId9"/>
    <sheet name="Būvvalde" sheetId="29" r:id="rId10"/>
    <sheet name="Ceļu uzturēšanai un rem." sheetId="72" r:id="rId11"/>
    <sheet name="Tūrisms" sheetId="78" r:id="rId12"/>
    <sheet name="Atkrit. apsaimn." sheetId="73" r:id="rId13"/>
    <sheet name="Notekūd. apsaimn.,ainavas aizsa" sheetId="74" r:id="rId14"/>
    <sheet name="Ūdensapgāde" sheetId="75" r:id="rId15"/>
    <sheet name="Tautsaimn. " sheetId="14" r:id="rId16"/>
    <sheet name="Tauts. Pagastu pārv." sheetId="70" r:id="rId17"/>
    <sheet name="Veselība" sheetId="79" r:id="rId18"/>
    <sheet name="Kult.iest." sheetId="17" r:id="rId19"/>
    <sheet name="Kult.aktivit. " sheetId="67" r:id="rId20"/>
    <sheet name="Sporta kom. " sheetId="77" r:id="rId21"/>
    <sheet name="Pašvald.projekti" sheetId="66" r:id="rId22"/>
    <sheet name="Izgl. projekti" sheetId="61" r:id="rId23"/>
    <sheet name="ES projekti " sheetId="62" r:id="rId24"/>
    <sheet name="Finans. kapitālsabiedr." sheetId="55" r:id="rId25"/>
    <sheet name="Fin. PA Ogres komunik." sheetId="24" r:id="rId26"/>
  </sheets>
  <calcPr calcId="152511"/>
</workbook>
</file>

<file path=xl/calcChain.xml><?xml version="1.0" encoding="utf-8"?>
<calcChain xmlns="http://schemas.openxmlformats.org/spreadsheetml/2006/main">
  <c r="C33" i="24" l="1"/>
  <c r="C11" i="73" l="1"/>
  <c r="AC24" i="61" l="1"/>
  <c r="AD24" i="61"/>
  <c r="Z25" i="61"/>
  <c r="I25" i="61"/>
  <c r="I24" i="61"/>
  <c r="L30" i="62" l="1"/>
  <c r="C81" i="14"/>
  <c r="L9" i="62" l="1"/>
  <c r="L10" i="62"/>
  <c r="C24" i="14" l="1"/>
  <c r="E18" i="13" l="1"/>
  <c r="Q18" i="12" l="1"/>
  <c r="AI22" i="61"/>
  <c r="AI21" i="61"/>
  <c r="J10" i="75"/>
  <c r="J26" i="75" s="1"/>
  <c r="F17" i="15" l="1"/>
  <c r="Z24" i="61" l="1"/>
  <c r="AG23" i="61" l="1"/>
  <c r="AG35" i="61" s="1"/>
  <c r="AG11" i="61"/>
  <c r="AG16" i="61" s="1"/>
  <c r="AG17" i="61" s="1"/>
  <c r="AG36" i="61" l="1"/>
  <c r="R11" i="62"/>
  <c r="R10" i="62"/>
  <c r="C13" i="29" l="1"/>
  <c r="C5" i="24" l="1"/>
  <c r="C22" i="24" s="1"/>
  <c r="C30" i="14" l="1"/>
  <c r="G17" i="67" l="1"/>
  <c r="D17" i="67"/>
  <c r="E34" i="67"/>
  <c r="E18" i="67"/>
  <c r="E13" i="13" l="1"/>
  <c r="E12" i="13"/>
  <c r="M15" i="12"/>
  <c r="L15" i="12"/>
  <c r="L14" i="12"/>
  <c r="F24" i="16"/>
  <c r="D24" i="16"/>
  <c r="AX13" i="17"/>
  <c r="AX9" i="17"/>
  <c r="AV17" i="17"/>
  <c r="AV13" i="17"/>
  <c r="AU13" i="17"/>
  <c r="AT14" i="17"/>
  <c r="AT13" i="17"/>
  <c r="V13" i="17"/>
  <c r="V12" i="17"/>
  <c r="F13" i="17"/>
  <c r="F9" i="17"/>
  <c r="D17" i="17"/>
  <c r="D13" i="17"/>
  <c r="E12" i="79"/>
  <c r="E11" i="79"/>
  <c r="R31" i="66"/>
  <c r="P31" i="66"/>
  <c r="P25" i="66"/>
  <c r="P24" i="66"/>
  <c r="C13" i="14"/>
  <c r="C4" i="14"/>
  <c r="O31" i="66"/>
  <c r="O9" i="66"/>
  <c r="I31" i="66"/>
  <c r="D34" i="72"/>
  <c r="D40" i="72"/>
  <c r="D20" i="72"/>
  <c r="D12" i="72"/>
  <c r="C20" i="29"/>
  <c r="C14" i="29"/>
  <c r="C11" i="29" s="1"/>
  <c r="F24" i="62"/>
  <c r="F10" i="62"/>
  <c r="F24" i="66"/>
  <c r="F9" i="66"/>
  <c r="E9" i="66"/>
  <c r="E31" i="66"/>
  <c r="E24" i="66"/>
  <c r="C10" i="2"/>
  <c r="C14" i="2"/>
  <c r="C6" i="2"/>
  <c r="C11" i="2"/>
  <c r="H12" i="21"/>
  <c r="D9" i="21"/>
  <c r="D8" i="21"/>
  <c r="C19" i="21"/>
  <c r="C13" i="21"/>
  <c r="C12" i="21"/>
  <c r="P22" i="62"/>
  <c r="P34" i="62" s="1"/>
  <c r="P14" i="62"/>
  <c r="P15" i="62" s="1"/>
  <c r="AQ25" i="61"/>
  <c r="S30" i="62"/>
  <c r="D30" i="62" s="1"/>
  <c r="AP26" i="61"/>
  <c r="AP25" i="61"/>
  <c r="AP24" i="61"/>
  <c r="AO26" i="61"/>
  <c r="AO25" i="61"/>
  <c r="AO22" i="61"/>
  <c r="AO21" i="61"/>
  <c r="AJ24" i="61"/>
  <c r="AJ22" i="61"/>
  <c r="AJ21" i="61"/>
  <c r="AH25" i="61"/>
  <c r="AA26" i="61"/>
  <c r="AA25" i="61"/>
  <c r="AA22" i="61"/>
  <c r="AA21" i="61"/>
  <c r="R34" i="62"/>
  <c r="R14" i="62"/>
  <c r="R15" i="62" s="1"/>
  <c r="V23" i="61"/>
  <c r="V35" i="61" s="1"/>
  <c r="V11" i="61"/>
  <c r="V16" i="61" s="1"/>
  <c r="V17" i="61" s="1"/>
  <c r="T26" i="61"/>
  <c r="T25" i="61"/>
  <c r="T10" i="61"/>
  <c r="S32" i="61"/>
  <c r="S25" i="61"/>
  <c r="S22" i="61"/>
  <c r="S21" i="61"/>
  <c r="S12" i="61"/>
  <c r="Q23" i="61"/>
  <c r="Q35" i="61" s="1"/>
  <c r="Q11" i="61"/>
  <c r="Q16" i="61" s="1"/>
  <c r="Q17" i="61" s="1"/>
  <c r="P11" i="61"/>
  <c r="O24" i="61"/>
  <c r="M24" i="61"/>
  <c r="L26" i="61"/>
  <c r="L25" i="61"/>
  <c r="L24" i="61"/>
  <c r="L22" i="61"/>
  <c r="L21" i="61"/>
  <c r="H11" i="56"/>
  <c r="H7" i="56"/>
  <c r="G11" i="56"/>
  <c r="F12" i="15"/>
  <c r="F17" i="16"/>
  <c r="F12" i="16"/>
  <c r="F8" i="16"/>
  <c r="D17" i="16"/>
  <c r="D13" i="16"/>
  <c r="D12" i="16"/>
  <c r="D9" i="16"/>
  <c r="D8" i="16"/>
  <c r="U18" i="13"/>
  <c r="U13" i="13"/>
  <c r="U12" i="13"/>
  <c r="T18" i="13"/>
  <c r="T13" i="13"/>
  <c r="T12" i="13"/>
  <c r="N18" i="13"/>
  <c r="N13" i="13"/>
  <c r="N12" i="13"/>
  <c r="M18" i="13"/>
  <c r="M13" i="13"/>
  <c r="M12" i="13"/>
  <c r="H18" i="13"/>
  <c r="H13" i="13"/>
  <c r="H12" i="13"/>
  <c r="G18" i="13"/>
  <c r="G13" i="13"/>
  <c r="G12" i="13"/>
  <c r="F18" i="13"/>
  <c r="F13" i="13"/>
  <c r="F12" i="13"/>
  <c r="D18" i="13"/>
  <c r="D13" i="13"/>
  <c r="D12" i="13"/>
  <c r="O15" i="12"/>
  <c r="O14" i="12"/>
  <c r="N19" i="12"/>
  <c r="N20" i="12"/>
  <c r="N15" i="12"/>
  <c r="N14" i="12"/>
  <c r="J15" i="12"/>
  <c r="I15" i="12"/>
  <c r="H15" i="12"/>
  <c r="G15" i="12"/>
  <c r="G14" i="12"/>
  <c r="F19" i="12"/>
  <c r="F15" i="12"/>
  <c r="F14" i="12"/>
  <c r="F11" i="12"/>
  <c r="E15" i="12"/>
  <c r="E14" i="12"/>
  <c r="D15" i="12"/>
  <c r="P35" i="62" l="1"/>
  <c r="V36" i="61"/>
  <c r="R35" i="62"/>
  <c r="Q36" i="61"/>
  <c r="P15" i="12"/>
  <c r="C26" i="14" l="1"/>
  <c r="C23" i="55" l="1"/>
  <c r="E24" i="16"/>
  <c r="Q18" i="13"/>
  <c r="Q12" i="13"/>
  <c r="H17" i="15" l="1"/>
  <c r="H13" i="15"/>
  <c r="H12" i="15"/>
  <c r="H9" i="15"/>
  <c r="E17" i="16"/>
  <c r="E12" i="16"/>
  <c r="S18" i="13"/>
  <c r="S13" i="13"/>
  <c r="S12" i="13"/>
  <c r="P18" i="13"/>
  <c r="P13" i="13"/>
  <c r="P12" i="13"/>
  <c r="Q13" i="13"/>
  <c r="O18" i="13"/>
  <c r="O13" i="13"/>
  <c r="O12" i="13"/>
  <c r="E20" i="70"/>
  <c r="E12" i="70"/>
  <c r="D20" i="70"/>
  <c r="D12" i="70"/>
  <c r="H13" i="72"/>
  <c r="H12" i="72"/>
  <c r="K25" i="61" l="1"/>
  <c r="K24" i="61"/>
  <c r="K26" i="61"/>
  <c r="P26" i="61" l="1"/>
  <c r="P25" i="61"/>
  <c r="P24" i="61"/>
  <c r="F23" i="61"/>
  <c r="F35" i="61" s="1"/>
  <c r="G23" i="61"/>
  <c r="G35" i="61" s="1"/>
  <c r="F11" i="61"/>
  <c r="F16" i="61" s="1"/>
  <c r="F17" i="61" s="1"/>
  <c r="G11" i="61"/>
  <c r="G16" i="61" s="1"/>
  <c r="G17" i="61" s="1"/>
  <c r="R12" i="13"/>
  <c r="M14" i="17"/>
  <c r="M18" i="17"/>
  <c r="X13" i="17"/>
  <c r="X9" i="17"/>
  <c r="AJ13" i="17"/>
  <c r="AJ9" i="17"/>
  <c r="AI13" i="17"/>
  <c r="AK9" i="17"/>
  <c r="AK19" i="17"/>
  <c r="AK18" i="17"/>
  <c r="F36" i="61" l="1"/>
  <c r="G36" i="61"/>
  <c r="E13" i="15"/>
  <c r="E11" i="15"/>
  <c r="L18" i="13"/>
  <c r="L13" i="13"/>
  <c r="L12" i="13"/>
  <c r="K18" i="13"/>
  <c r="K13" i="13"/>
  <c r="K12" i="13"/>
  <c r="J18" i="13"/>
  <c r="J13" i="13"/>
  <c r="J12" i="13"/>
  <c r="J11" i="13"/>
  <c r="I18" i="13"/>
  <c r="I13" i="13"/>
  <c r="I12" i="13"/>
  <c r="K15" i="12"/>
  <c r="AP14" i="17"/>
  <c r="AO14" i="17"/>
  <c r="AO13" i="17"/>
  <c r="AO9" i="17"/>
  <c r="AN14" i="17"/>
  <c r="AN13" i="17"/>
  <c r="AL16" i="17"/>
  <c r="AL13" i="17"/>
  <c r="P19" i="17"/>
  <c r="P14" i="17"/>
  <c r="P13" i="17"/>
  <c r="P12" i="17"/>
  <c r="Q12" i="70"/>
  <c r="P20" i="70"/>
  <c r="P13" i="70"/>
  <c r="O13" i="70"/>
  <c r="O12" i="70"/>
  <c r="N12" i="70"/>
  <c r="I15" i="75"/>
  <c r="I12" i="75"/>
  <c r="H13" i="75"/>
  <c r="H12" i="75"/>
  <c r="G20" i="75"/>
  <c r="F13" i="75"/>
  <c r="H20" i="74"/>
  <c r="P12" i="72"/>
  <c r="P20" i="72"/>
  <c r="O13" i="72"/>
  <c r="O12" i="72"/>
  <c r="N28" i="72"/>
  <c r="M28" i="72"/>
  <c r="N12" i="72"/>
  <c r="M12" i="72"/>
  <c r="D32" i="74"/>
  <c r="Q14" i="12" l="1"/>
  <c r="I17" i="15"/>
  <c r="I12" i="15"/>
  <c r="I11" i="15"/>
  <c r="AD19" i="17"/>
  <c r="AD14" i="17"/>
  <c r="AD9" i="17"/>
  <c r="AD13" i="17"/>
  <c r="T30" i="13"/>
  <c r="T25" i="13"/>
  <c r="AC14" i="17"/>
  <c r="AC13" i="17"/>
  <c r="AC12" i="17"/>
  <c r="H12" i="17"/>
  <c r="H14" i="17"/>
  <c r="AB19" i="17"/>
  <c r="AB14" i="17"/>
  <c r="AB13" i="17"/>
  <c r="L10" i="12"/>
  <c r="G20" i="70"/>
  <c r="G13" i="70"/>
  <c r="M17" i="13"/>
  <c r="M11" i="13"/>
  <c r="K20" i="70"/>
  <c r="K19" i="70"/>
  <c r="K12" i="70"/>
  <c r="K13" i="70"/>
  <c r="L13" i="70"/>
  <c r="L12" i="70"/>
  <c r="M14" i="12"/>
  <c r="I16" i="17"/>
  <c r="I13" i="17"/>
  <c r="F13" i="72"/>
  <c r="F12" i="72"/>
  <c r="Y14" i="17"/>
  <c r="Y13" i="17"/>
  <c r="J13" i="17"/>
  <c r="J9" i="17"/>
  <c r="AH13" i="17"/>
  <c r="AH14" i="17"/>
  <c r="H12" i="70"/>
  <c r="I15" i="70"/>
  <c r="I12" i="70"/>
  <c r="AG16" i="17"/>
  <c r="AG14" i="17"/>
  <c r="AG13" i="17"/>
  <c r="C11" i="14"/>
  <c r="C9" i="14"/>
  <c r="J62" i="77" l="1"/>
  <c r="J63" i="77"/>
  <c r="J64" i="77"/>
  <c r="J65" i="77"/>
  <c r="G24" i="66" l="1"/>
  <c r="C94" i="14" l="1"/>
  <c r="B29" i="67" l="1"/>
  <c r="H18" i="56" l="1"/>
  <c r="O24" i="62" l="1"/>
  <c r="E12" i="56" l="1"/>
  <c r="H14" i="12"/>
  <c r="H20" i="12" l="1"/>
  <c r="C27" i="24" l="1"/>
  <c r="Q15" i="70" l="1"/>
  <c r="Q13" i="70"/>
  <c r="Q9" i="70"/>
  <c r="Q8" i="70"/>
  <c r="P15" i="72"/>
  <c r="P13" i="72"/>
  <c r="P9" i="72"/>
  <c r="P8" i="72"/>
  <c r="J20" i="72" l="1"/>
  <c r="S10" i="62" l="1"/>
  <c r="O9" i="72" l="1"/>
  <c r="O8" i="72"/>
  <c r="S12" i="72"/>
  <c r="E12" i="72"/>
  <c r="R13" i="13" l="1"/>
  <c r="R9" i="13"/>
  <c r="AP15" i="61" l="1"/>
  <c r="AP9" i="61"/>
  <c r="F26" i="15" l="1"/>
  <c r="E17" i="15"/>
  <c r="K20" i="12"/>
  <c r="I12" i="72" l="1"/>
  <c r="D12" i="56" l="1"/>
  <c r="E13" i="74"/>
  <c r="D12" i="74"/>
  <c r="D20" i="74"/>
  <c r="C9" i="29"/>
  <c r="Y22" i="66" l="1"/>
  <c r="Y35" i="66" s="1"/>
  <c r="Z22" i="66"/>
  <c r="Z35" i="66" s="1"/>
  <c r="Y14" i="66"/>
  <c r="Y15" i="66" s="1"/>
  <c r="Z14" i="66"/>
  <c r="Z15" i="66" s="1"/>
  <c r="Z36" i="66" l="1"/>
  <c r="Y36" i="66"/>
  <c r="G22" i="62"/>
  <c r="G34" i="62" s="1"/>
  <c r="H22" i="62"/>
  <c r="H34" i="62" s="1"/>
  <c r="I22" i="62"/>
  <c r="I34" i="62" s="1"/>
  <c r="J22" i="62"/>
  <c r="J34" i="62" s="1"/>
  <c r="G14" i="62"/>
  <c r="G15" i="62" s="1"/>
  <c r="H14" i="62"/>
  <c r="H15" i="62" s="1"/>
  <c r="I14" i="62"/>
  <c r="I15" i="62" s="1"/>
  <c r="J14" i="62"/>
  <c r="J15" i="62" s="1"/>
  <c r="H35" i="62" l="1"/>
  <c r="J35" i="62"/>
  <c r="I35" i="62"/>
  <c r="G35" i="62"/>
  <c r="AR25" i="61"/>
  <c r="D22" i="61"/>
  <c r="AB24" i="61"/>
  <c r="Y26" i="61"/>
  <c r="N34" i="61" l="1"/>
  <c r="D34" i="61" s="1"/>
  <c r="N15" i="61"/>
  <c r="N11" i="61" s="1"/>
  <c r="S12" i="62" l="1"/>
  <c r="V28" i="13" l="1"/>
  <c r="Q10" i="62" l="1"/>
  <c r="Q11" i="62" s="1"/>
  <c r="AR12" i="61" l="1"/>
  <c r="O10" i="62" l="1"/>
  <c r="AW13" i="17" l="1"/>
  <c r="K10" i="62" l="1"/>
  <c r="H12" i="56"/>
  <c r="D22" i="69" l="1"/>
  <c r="D20" i="69"/>
  <c r="D9" i="15" l="1"/>
  <c r="D11" i="15"/>
  <c r="D12" i="15"/>
  <c r="D13" i="15"/>
  <c r="D14" i="15"/>
  <c r="D15" i="15"/>
  <c r="D16" i="15"/>
  <c r="D17" i="15"/>
  <c r="D19" i="15"/>
  <c r="D20" i="15"/>
  <c r="D21" i="15"/>
  <c r="D22" i="15"/>
  <c r="D8" i="15"/>
  <c r="I22" i="66" l="1"/>
  <c r="I35" i="66" s="1"/>
  <c r="J22" i="66"/>
  <c r="J35" i="66" s="1"/>
  <c r="K22" i="66"/>
  <c r="K35" i="66" s="1"/>
  <c r="L22" i="66"/>
  <c r="L35" i="66" s="1"/>
  <c r="M22" i="66"/>
  <c r="M35" i="66" s="1"/>
  <c r="N22" i="66"/>
  <c r="N35" i="66" s="1"/>
  <c r="O22" i="66"/>
  <c r="O35" i="66" s="1"/>
  <c r="P22" i="66"/>
  <c r="T22" i="66"/>
  <c r="T35" i="66" s="1"/>
  <c r="AQ12" i="61" l="1"/>
  <c r="O22" i="62" l="1"/>
  <c r="O34" i="62" s="1"/>
  <c r="M22" i="62"/>
  <c r="M34" i="62" s="1"/>
  <c r="N22" i="62"/>
  <c r="N34" i="62" s="1"/>
  <c r="L22" i="62"/>
  <c r="L34" i="62" s="1"/>
  <c r="K22" i="62"/>
  <c r="K34" i="62" s="1"/>
  <c r="Q22" i="62"/>
  <c r="Q34" i="62" s="1"/>
  <c r="S22" i="62"/>
  <c r="S34" i="62" s="1"/>
  <c r="T22" i="62"/>
  <c r="T34" i="62" s="1"/>
  <c r="N14" i="62" l="1"/>
  <c r="N15" i="62" s="1"/>
  <c r="N35" i="62" s="1"/>
  <c r="T14" i="66"/>
  <c r="T15" i="66" s="1"/>
  <c r="T36" i="66" s="1"/>
  <c r="I14" i="66"/>
  <c r="I15" i="66" s="1"/>
  <c r="I36" i="66" s="1"/>
  <c r="J14" i="66"/>
  <c r="J15" i="66" s="1"/>
  <c r="J36" i="66" s="1"/>
  <c r="L14" i="66"/>
  <c r="L15" i="66" s="1"/>
  <c r="L36" i="66" s="1"/>
  <c r="K14" i="66"/>
  <c r="K15" i="66" s="1"/>
  <c r="K36" i="66" s="1"/>
  <c r="M14" i="66"/>
  <c r="M15" i="66" s="1"/>
  <c r="M36" i="66" s="1"/>
  <c r="N14" i="66"/>
  <c r="N15" i="66" s="1"/>
  <c r="N36" i="66" s="1"/>
  <c r="O14" i="66"/>
  <c r="O15" i="66" s="1"/>
  <c r="O36" i="66" s="1"/>
  <c r="AB11" i="17"/>
  <c r="AB22" i="17" s="1"/>
  <c r="AB24" i="17" l="1"/>
  <c r="C20" i="14"/>
  <c r="P20" i="12" l="1"/>
  <c r="X19" i="17" l="1"/>
  <c r="I93" i="77" l="1"/>
  <c r="H93" i="77"/>
  <c r="G93" i="77"/>
  <c r="F93" i="77"/>
  <c r="E93" i="77"/>
  <c r="D93" i="77"/>
  <c r="J92" i="77"/>
  <c r="J91" i="77"/>
  <c r="J90" i="77"/>
  <c r="J89" i="77"/>
  <c r="J88" i="77"/>
  <c r="J87" i="77"/>
  <c r="J86" i="77"/>
  <c r="J85" i="77"/>
  <c r="J84" i="77"/>
  <c r="J83" i="77"/>
  <c r="J82" i="77"/>
  <c r="J81" i="77"/>
  <c r="J80" i="77"/>
  <c r="J79" i="77"/>
  <c r="J78" i="77"/>
  <c r="J77" i="77"/>
  <c r="J76" i="77"/>
  <c r="J75" i="77"/>
  <c r="J74" i="77"/>
  <c r="J73" i="77"/>
  <c r="J72" i="77"/>
  <c r="J71" i="77"/>
  <c r="J70" i="77"/>
  <c r="J69" i="77"/>
  <c r="J68" i="77"/>
  <c r="J67" i="77"/>
  <c r="J66" i="77"/>
  <c r="J61" i="77"/>
  <c r="J60" i="77"/>
  <c r="J59" i="77"/>
  <c r="J58" i="77"/>
  <c r="J57" i="77"/>
  <c r="J56" i="77"/>
  <c r="J55" i="77"/>
  <c r="J54" i="77"/>
  <c r="J53" i="77"/>
  <c r="J52" i="77"/>
  <c r="J51" i="77"/>
  <c r="J50" i="77"/>
  <c r="J49" i="77"/>
  <c r="J48" i="77"/>
  <c r="J47" i="77"/>
  <c r="J46" i="77"/>
  <c r="J45" i="77"/>
  <c r="J44" i="77"/>
  <c r="J43" i="77"/>
  <c r="J41" i="77"/>
  <c r="J40" i="77"/>
  <c r="J39" i="77"/>
  <c r="J38" i="77"/>
  <c r="J37" i="77"/>
  <c r="J36" i="77"/>
  <c r="J35" i="77"/>
  <c r="J33" i="77"/>
  <c r="J32" i="77"/>
  <c r="J31" i="77"/>
  <c r="J30" i="77"/>
  <c r="J29" i="77"/>
  <c r="J28" i="77"/>
  <c r="J27" i="77"/>
  <c r="J26" i="77"/>
  <c r="J25" i="77"/>
  <c r="J24" i="77"/>
  <c r="J23" i="77"/>
  <c r="J21" i="77"/>
  <c r="J20" i="77"/>
  <c r="J19" i="77"/>
  <c r="J18" i="77"/>
  <c r="J17" i="77"/>
  <c r="J16" i="77"/>
  <c r="J15" i="77"/>
  <c r="J14" i="77"/>
  <c r="J13" i="77"/>
  <c r="J12" i="77"/>
  <c r="J11" i="77"/>
  <c r="J10" i="77"/>
  <c r="J9" i="77"/>
  <c r="J93" i="77" l="1"/>
  <c r="C39" i="14"/>
  <c r="C22" i="14"/>
  <c r="C21" i="14"/>
  <c r="B17" i="67" l="1"/>
  <c r="B16" i="67"/>
  <c r="B15" i="67"/>
  <c r="B7" i="67"/>
  <c r="B14" i="67"/>
  <c r="B13" i="67"/>
  <c r="B12" i="67"/>
  <c r="B11" i="67"/>
  <c r="B10" i="67"/>
  <c r="B9" i="67"/>
  <c r="B8" i="67"/>
  <c r="B6" i="67"/>
  <c r="B5" i="67"/>
  <c r="C11" i="16" l="1"/>
  <c r="C12" i="16"/>
  <c r="C13" i="16"/>
  <c r="C14" i="16"/>
  <c r="C15" i="16"/>
  <c r="C16" i="16"/>
  <c r="C17" i="16"/>
  <c r="C19" i="16"/>
  <c r="C20" i="16"/>
  <c r="C21" i="16"/>
  <c r="C22" i="16"/>
  <c r="D11" i="17" l="1"/>
  <c r="D22" i="17" s="1"/>
  <c r="D24" i="17" s="1"/>
  <c r="AW14" i="17" l="1"/>
  <c r="AW19" i="17"/>
  <c r="AW9" i="17"/>
  <c r="B32" i="67"/>
  <c r="B27" i="67"/>
  <c r="B28" i="67"/>
  <c r="H34" i="67"/>
  <c r="G34" i="67"/>
  <c r="F34" i="67"/>
  <c r="D34" i="67"/>
  <c r="C34" i="67"/>
  <c r="B33" i="67"/>
  <c r="B31" i="67"/>
  <c r="B30" i="67"/>
  <c r="B26" i="67"/>
  <c r="B34" i="67" l="1"/>
  <c r="AX11" i="17"/>
  <c r="AX22" i="17" s="1"/>
  <c r="AY11" i="17"/>
  <c r="AY22" i="17" s="1"/>
  <c r="AY24" i="17" l="1"/>
  <c r="AX24" i="17"/>
  <c r="I10" i="70"/>
  <c r="I26" i="70" s="1"/>
  <c r="J10" i="70"/>
  <c r="J26" i="70" s="1"/>
  <c r="K10" i="70"/>
  <c r="K26" i="70" s="1"/>
  <c r="L10" i="70"/>
  <c r="L26" i="70" s="1"/>
  <c r="C92" i="14" l="1"/>
  <c r="E12" i="68" l="1"/>
  <c r="C26" i="13" l="1"/>
  <c r="C27" i="13"/>
  <c r="C28" i="13"/>
  <c r="C29" i="13"/>
  <c r="C30" i="13"/>
  <c r="C31" i="13"/>
  <c r="C25" i="13"/>
  <c r="C9" i="13"/>
  <c r="C11" i="13"/>
  <c r="C12" i="13"/>
  <c r="C13" i="13"/>
  <c r="C14" i="13"/>
  <c r="C15" i="13"/>
  <c r="C16" i="13"/>
  <c r="C17" i="13"/>
  <c r="C18" i="13"/>
  <c r="C20" i="13"/>
  <c r="C21" i="13"/>
  <c r="C22" i="13"/>
  <c r="C23" i="13"/>
  <c r="C8" i="13"/>
  <c r="C12" i="75" l="1"/>
  <c r="C13" i="75"/>
  <c r="C14" i="75"/>
  <c r="C15" i="75"/>
  <c r="C16" i="75"/>
  <c r="C17" i="75"/>
  <c r="C18" i="75"/>
  <c r="C19" i="75"/>
  <c r="C20" i="75"/>
  <c r="F10" i="21"/>
  <c r="D10" i="69"/>
  <c r="E10" i="69"/>
  <c r="F10" i="69"/>
  <c r="G10" i="69"/>
  <c r="H10" i="69"/>
  <c r="I10" i="69"/>
  <c r="C10" i="69"/>
  <c r="I19" i="13"/>
  <c r="J19" i="13"/>
  <c r="K19" i="13"/>
  <c r="L19" i="13"/>
  <c r="V19" i="13"/>
  <c r="P10" i="13"/>
  <c r="H18" i="67" l="1"/>
  <c r="D18" i="67"/>
  <c r="G18" i="67"/>
  <c r="C18" i="67"/>
  <c r="F18" i="67"/>
  <c r="B18" i="67" l="1"/>
  <c r="AR23" i="61" l="1"/>
  <c r="AR35" i="61" s="1"/>
  <c r="AR11" i="61"/>
  <c r="AR16" i="61" s="1"/>
  <c r="AR17" i="61" s="1"/>
  <c r="AQ23" i="61"/>
  <c r="AQ35" i="61" s="1"/>
  <c r="AQ11" i="61"/>
  <c r="AQ16" i="61" s="1"/>
  <c r="AQ17" i="61" s="1"/>
  <c r="AB23" i="61"/>
  <c r="AB35" i="61" s="1"/>
  <c r="AB11" i="61"/>
  <c r="AB16" i="61" s="1"/>
  <c r="AB17" i="61" s="1"/>
  <c r="Y23" i="61"/>
  <c r="Y35" i="61" s="1"/>
  <c r="Y11" i="61"/>
  <c r="Y16" i="61" s="1"/>
  <c r="Y17" i="61" s="1"/>
  <c r="Z11" i="61"/>
  <c r="Z16" i="61" s="1"/>
  <c r="Z17" i="61" s="1"/>
  <c r="Z23" i="61"/>
  <c r="Z35" i="61" s="1"/>
  <c r="W23" i="61"/>
  <c r="W35" i="61" s="1"/>
  <c r="U23" i="61"/>
  <c r="U35" i="61" s="1"/>
  <c r="W11" i="61"/>
  <c r="W16" i="61" s="1"/>
  <c r="W17" i="61" s="1"/>
  <c r="U11" i="61"/>
  <c r="U16" i="61" s="1"/>
  <c r="U17" i="61" s="1"/>
  <c r="O23" i="61"/>
  <c r="O35" i="61" s="1"/>
  <c r="O11" i="61"/>
  <c r="O16" i="61" s="1"/>
  <c r="O17" i="61" s="1"/>
  <c r="C9" i="16"/>
  <c r="C8" i="16"/>
  <c r="O36" i="61" l="1"/>
  <c r="Z36" i="61"/>
  <c r="H9" i="56"/>
  <c r="H23" i="56" s="1"/>
  <c r="H25" i="56" s="1"/>
  <c r="AR36" i="61"/>
  <c r="AQ36" i="61"/>
  <c r="AB36" i="61"/>
  <c r="Y36" i="61"/>
  <c r="W36" i="61"/>
  <c r="U36" i="61"/>
  <c r="F22" i="62" l="1"/>
  <c r="F34" i="62" s="1"/>
  <c r="F14" i="62"/>
  <c r="F15" i="62" s="1"/>
  <c r="E14" i="62"/>
  <c r="E15" i="62" s="1"/>
  <c r="F35" i="62" l="1"/>
  <c r="H18" i="16" l="1"/>
  <c r="H10" i="16"/>
  <c r="H23" i="16" l="1"/>
  <c r="H27" i="16" l="1"/>
  <c r="L23" i="61" l="1"/>
  <c r="L35" i="61" s="1"/>
  <c r="L11" i="61"/>
  <c r="L16" i="61" s="1"/>
  <c r="L17" i="61" s="1"/>
  <c r="K23" i="61"/>
  <c r="K35" i="61" s="1"/>
  <c r="K11" i="61"/>
  <c r="K16" i="61" s="1"/>
  <c r="K17" i="61" s="1"/>
  <c r="I11" i="61"/>
  <c r="I16" i="61" s="1"/>
  <c r="I17" i="61" s="1"/>
  <c r="I23" i="61"/>
  <c r="I35" i="61" s="1"/>
  <c r="V22" i="66"/>
  <c r="V35" i="66" s="1"/>
  <c r="V14" i="66"/>
  <c r="V15" i="66" s="1"/>
  <c r="L36" i="61" l="1"/>
  <c r="V36" i="66"/>
  <c r="K36" i="61"/>
  <c r="I36" i="61"/>
  <c r="S19" i="13" l="1"/>
  <c r="C15" i="12" l="1"/>
  <c r="C10" i="12" l="1"/>
  <c r="C11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C13" i="12"/>
  <c r="C14" i="12"/>
  <c r="D9" i="56" l="1"/>
  <c r="D23" i="56" s="1"/>
  <c r="E9" i="79"/>
  <c r="E22" i="79" s="1"/>
  <c r="D9" i="79"/>
  <c r="D22" i="79" s="1"/>
  <c r="C9" i="79"/>
  <c r="C22" i="79" s="1"/>
  <c r="C66" i="14"/>
  <c r="C59" i="14"/>
  <c r="C10" i="78"/>
  <c r="C23" i="78" s="1"/>
  <c r="C9" i="56" l="1"/>
  <c r="C23" i="56" s="1"/>
  <c r="G18" i="16"/>
  <c r="G10" i="16"/>
  <c r="P24" i="13"/>
  <c r="L10" i="13"/>
  <c r="L24" i="13" s="1"/>
  <c r="C16" i="12"/>
  <c r="C17" i="12"/>
  <c r="C18" i="12"/>
  <c r="C19" i="12"/>
  <c r="C20" i="12"/>
  <c r="C22" i="12"/>
  <c r="C23" i="12"/>
  <c r="C24" i="12"/>
  <c r="C25" i="12"/>
  <c r="Q21" i="12"/>
  <c r="G23" i="16" l="1"/>
  <c r="C12" i="12"/>
  <c r="Q26" i="12"/>
  <c r="L32" i="13"/>
  <c r="AO11" i="61"/>
  <c r="AO16" i="61" s="1"/>
  <c r="AO17" i="61" s="1"/>
  <c r="G27" i="16" l="1"/>
  <c r="Q30" i="12"/>
  <c r="AO23" i="61"/>
  <c r="AO35" i="61" s="1"/>
  <c r="AO36" i="61" s="1"/>
  <c r="Q22" i="66" l="1"/>
  <c r="Q35" i="66" s="1"/>
  <c r="Q14" i="66"/>
  <c r="Q15" i="66" s="1"/>
  <c r="Q36" i="66" l="1"/>
  <c r="O10" i="13"/>
  <c r="O24" i="13" s="1"/>
  <c r="M36" i="13"/>
  <c r="M37" i="13" s="1"/>
  <c r="M38" i="13" s="1"/>
  <c r="F36" i="13"/>
  <c r="F37" i="13" s="1"/>
  <c r="G36" i="13"/>
  <c r="G37" i="13" s="1"/>
  <c r="G38" i="13" s="1"/>
  <c r="U36" i="13"/>
  <c r="U37" i="13" s="1"/>
  <c r="U38" i="13" s="1"/>
  <c r="H36" i="13"/>
  <c r="H37" i="13" s="1"/>
  <c r="H38" i="13" s="1"/>
  <c r="T36" i="13"/>
  <c r="T37" i="13" s="1"/>
  <c r="T38" i="13" s="1"/>
  <c r="D36" i="13"/>
  <c r="D37" i="13" s="1"/>
  <c r="D38" i="13" s="1"/>
  <c r="N36" i="13"/>
  <c r="N37" i="13" s="1"/>
  <c r="N38" i="13" s="1"/>
  <c r="S36" i="13"/>
  <c r="S37" i="13" s="1"/>
  <c r="S38" i="13" s="1"/>
  <c r="O36" i="13"/>
  <c r="O37" i="13" s="1"/>
  <c r="O38" i="13" s="1"/>
  <c r="P36" i="13"/>
  <c r="P37" i="13" s="1"/>
  <c r="P38" i="13" s="1"/>
  <c r="Q36" i="13"/>
  <c r="Q37" i="13" s="1"/>
  <c r="Q38" i="13" s="1"/>
  <c r="R36" i="13"/>
  <c r="R37" i="13" s="1"/>
  <c r="R38" i="13" s="1"/>
  <c r="I36" i="13"/>
  <c r="I37" i="13" s="1"/>
  <c r="I38" i="13" s="1"/>
  <c r="J36" i="13"/>
  <c r="J37" i="13" s="1"/>
  <c r="J38" i="13" s="1"/>
  <c r="K36" i="13"/>
  <c r="K37" i="13" s="1"/>
  <c r="K38" i="13" s="1"/>
  <c r="V36" i="13"/>
  <c r="V37" i="13" s="1"/>
  <c r="V38" i="13" s="1"/>
  <c r="E36" i="13"/>
  <c r="E37" i="13" s="1"/>
  <c r="E38" i="13" s="1"/>
  <c r="R14" i="66"/>
  <c r="R15" i="66" s="1"/>
  <c r="R22" i="66"/>
  <c r="R35" i="66" s="1"/>
  <c r="F38" i="13" l="1"/>
  <c r="R36" i="66"/>
  <c r="C28" i="12" l="1"/>
  <c r="D34" i="66" l="1"/>
  <c r="D33" i="66"/>
  <c r="D32" i="66"/>
  <c r="D31" i="66"/>
  <c r="D30" i="66"/>
  <c r="D29" i="66"/>
  <c r="D28" i="66"/>
  <c r="D27" i="66"/>
  <c r="D26" i="66"/>
  <c r="D25" i="66"/>
  <c r="D24" i="66"/>
  <c r="D23" i="66"/>
  <c r="AA22" i="66"/>
  <c r="AA35" i="66" s="1"/>
  <c r="X22" i="66"/>
  <c r="X35" i="66" s="1"/>
  <c r="W22" i="66"/>
  <c r="W35" i="66" s="1"/>
  <c r="U22" i="66"/>
  <c r="U35" i="66" s="1"/>
  <c r="H22" i="66"/>
  <c r="H35" i="66" s="1"/>
  <c r="S22" i="66"/>
  <c r="S35" i="66" s="1"/>
  <c r="P35" i="66"/>
  <c r="G22" i="66"/>
  <c r="G35" i="66" s="1"/>
  <c r="F22" i="66"/>
  <c r="F35" i="66" s="1"/>
  <c r="E22" i="66"/>
  <c r="E35" i="66" s="1"/>
  <c r="D21" i="66"/>
  <c r="D20" i="66"/>
  <c r="AA14" i="66"/>
  <c r="AA15" i="66" s="1"/>
  <c r="X14" i="66"/>
  <c r="X15" i="66" s="1"/>
  <c r="W14" i="66"/>
  <c r="W15" i="66" s="1"/>
  <c r="U14" i="66"/>
  <c r="U15" i="66" s="1"/>
  <c r="H14" i="66"/>
  <c r="H15" i="66" s="1"/>
  <c r="S14" i="66"/>
  <c r="S15" i="66" s="1"/>
  <c r="P14" i="66"/>
  <c r="P15" i="66" s="1"/>
  <c r="G14" i="66"/>
  <c r="G15" i="66" s="1"/>
  <c r="F14" i="66"/>
  <c r="F15" i="66" s="1"/>
  <c r="E14" i="66"/>
  <c r="E15" i="66" s="1"/>
  <c r="D13" i="66"/>
  <c r="D12" i="66"/>
  <c r="D10" i="66"/>
  <c r="D8" i="66"/>
  <c r="D11" i="66" l="1"/>
  <c r="X36" i="66"/>
  <c r="S36" i="66"/>
  <c r="H36" i="66"/>
  <c r="U36" i="66"/>
  <c r="F36" i="66"/>
  <c r="P36" i="66"/>
  <c r="AA36" i="66"/>
  <c r="W36" i="66"/>
  <c r="G36" i="66"/>
  <c r="E36" i="66"/>
  <c r="D22" i="66"/>
  <c r="D35" i="66" s="1"/>
  <c r="D9" i="66"/>
  <c r="D14" i="66" l="1"/>
  <c r="D15" i="66" s="1"/>
  <c r="D36" i="66" s="1"/>
  <c r="AP11" i="61" l="1"/>
  <c r="D33" i="62" l="1"/>
  <c r="D32" i="62"/>
  <c r="D31" i="62"/>
  <c r="D29" i="62"/>
  <c r="D28" i="62"/>
  <c r="D27" i="62"/>
  <c r="D26" i="62"/>
  <c r="D25" i="62"/>
  <c r="D24" i="62"/>
  <c r="D23" i="62"/>
  <c r="E22" i="62"/>
  <c r="E34" i="62" s="1"/>
  <c r="D21" i="62"/>
  <c r="D20" i="62"/>
  <c r="T14" i="62"/>
  <c r="Q14" i="62"/>
  <c r="Q15" i="62" s="1"/>
  <c r="Q35" i="62" s="1"/>
  <c r="K14" i="62"/>
  <c r="K15" i="62" s="1"/>
  <c r="K35" i="62" s="1"/>
  <c r="L14" i="62"/>
  <c r="L15" i="62" s="1"/>
  <c r="L35" i="62" s="1"/>
  <c r="M14" i="62"/>
  <c r="M15" i="62" s="1"/>
  <c r="M35" i="62" s="1"/>
  <c r="O14" i="62"/>
  <c r="O15" i="62" s="1"/>
  <c r="O35" i="62" s="1"/>
  <c r="D13" i="62"/>
  <c r="D12" i="62"/>
  <c r="D10" i="62"/>
  <c r="D9" i="62"/>
  <c r="D8" i="62"/>
  <c r="T15" i="62" l="1"/>
  <c r="T35" i="62" s="1"/>
  <c r="D22" i="62"/>
  <c r="D34" i="62" s="1"/>
  <c r="E35" i="62"/>
  <c r="D33" i="61" l="1"/>
  <c r="D32" i="61"/>
  <c r="D31" i="61"/>
  <c r="D30" i="61"/>
  <c r="D29" i="61"/>
  <c r="D28" i="61"/>
  <c r="D27" i="61"/>
  <c r="AA23" i="61"/>
  <c r="AA35" i="61" s="1"/>
  <c r="AJ23" i="61"/>
  <c r="AJ35" i="61" s="1"/>
  <c r="E23" i="61"/>
  <c r="E35" i="61" s="1"/>
  <c r="N23" i="61"/>
  <c r="N35" i="61" s="1"/>
  <c r="S23" i="61"/>
  <c r="S35" i="61" s="1"/>
  <c r="AI23" i="61"/>
  <c r="AI35" i="61" s="1"/>
  <c r="AP23" i="61"/>
  <c r="AP35" i="61" s="1"/>
  <c r="AN23" i="61"/>
  <c r="AN35" i="61" s="1"/>
  <c r="AL23" i="61"/>
  <c r="AL35" i="61" s="1"/>
  <c r="AK23" i="61"/>
  <c r="AK35" i="61" s="1"/>
  <c r="AH23" i="61"/>
  <c r="AH35" i="61" s="1"/>
  <c r="AF23" i="61"/>
  <c r="AF35" i="61" s="1"/>
  <c r="AE23" i="61"/>
  <c r="AE35" i="61" s="1"/>
  <c r="AD23" i="61"/>
  <c r="AD35" i="61" s="1"/>
  <c r="AC23" i="61"/>
  <c r="AC35" i="61" s="1"/>
  <c r="X23" i="61"/>
  <c r="X35" i="61" s="1"/>
  <c r="T23" i="61"/>
  <c r="T35" i="61" s="1"/>
  <c r="R23" i="61"/>
  <c r="R35" i="61" s="1"/>
  <c r="P23" i="61"/>
  <c r="P35" i="61" s="1"/>
  <c r="M23" i="61"/>
  <c r="M35" i="61" s="1"/>
  <c r="J23" i="61"/>
  <c r="J35" i="61" s="1"/>
  <c r="H23" i="61"/>
  <c r="H35" i="61" s="1"/>
  <c r="D21" i="61"/>
  <c r="P16" i="61"/>
  <c r="P17" i="61" s="1"/>
  <c r="D15" i="61"/>
  <c r="D14" i="61"/>
  <c r="D13" i="61"/>
  <c r="D12" i="61"/>
  <c r="S11" i="61"/>
  <c r="S16" i="61" s="1"/>
  <c r="S17" i="61" s="1"/>
  <c r="AI11" i="61"/>
  <c r="AI16" i="61" s="1"/>
  <c r="AI17" i="61" s="1"/>
  <c r="AM11" i="61"/>
  <c r="AM16" i="61" s="1"/>
  <c r="AM17" i="61" s="1"/>
  <c r="AP16" i="61"/>
  <c r="AP17" i="61" s="1"/>
  <c r="AN11" i="61"/>
  <c r="AN16" i="61" s="1"/>
  <c r="AN17" i="61" s="1"/>
  <c r="AL11" i="61"/>
  <c r="AL16" i="61" s="1"/>
  <c r="AL17" i="61" s="1"/>
  <c r="AK11" i="61"/>
  <c r="AK16" i="61" s="1"/>
  <c r="AK17" i="61" s="1"/>
  <c r="AJ11" i="61"/>
  <c r="AJ16" i="61" s="1"/>
  <c r="AJ17" i="61" s="1"/>
  <c r="AH11" i="61"/>
  <c r="AH16" i="61" s="1"/>
  <c r="AH17" i="61" s="1"/>
  <c r="AF11" i="61"/>
  <c r="AF16" i="61" s="1"/>
  <c r="AF17" i="61" s="1"/>
  <c r="AE11" i="61"/>
  <c r="AE16" i="61" s="1"/>
  <c r="AE17" i="61" s="1"/>
  <c r="AD11" i="61"/>
  <c r="AD16" i="61" s="1"/>
  <c r="AD17" i="61" s="1"/>
  <c r="AC11" i="61"/>
  <c r="AC16" i="61" s="1"/>
  <c r="AC17" i="61" s="1"/>
  <c r="AA11" i="61"/>
  <c r="AA16" i="61" s="1"/>
  <c r="AA17" i="61" s="1"/>
  <c r="X11" i="61"/>
  <c r="X16" i="61" s="1"/>
  <c r="X17" i="61" s="1"/>
  <c r="T11" i="61"/>
  <c r="T16" i="61" s="1"/>
  <c r="T17" i="61" s="1"/>
  <c r="R11" i="61"/>
  <c r="R16" i="61" s="1"/>
  <c r="R17" i="61" s="1"/>
  <c r="N16" i="61"/>
  <c r="N17" i="61" s="1"/>
  <c r="M11" i="61"/>
  <c r="M16" i="61" s="1"/>
  <c r="M17" i="61" s="1"/>
  <c r="J11" i="61"/>
  <c r="J16" i="61" s="1"/>
  <c r="J17" i="61" s="1"/>
  <c r="H11" i="61"/>
  <c r="H16" i="61" s="1"/>
  <c r="H17" i="61" s="1"/>
  <c r="E11" i="61"/>
  <c r="E16" i="61" s="1"/>
  <c r="E17" i="61" s="1"/>
  <c r="D10" i="61"/>
  <c r="D9" i="61"/>
  <c r="AI36" i="61" l="1"/>
  <c r="AE36" i="61"/>
  <c r="H36" i="61"/>
  <c r="J36" i="61"/>
  <c r="R36" i="61"/>
  <c r="AA36" i="61"/>
  <c r="AJ36" i="61"/>
  <c r="D25" i="61"/>
  <c r="D24" i="61"/>
  <c r="D26" i="61"/>
  <c r="S36" i="61"/>
  <c r="M36" i="61"/>
  <c r="X36" i="61"/>
  <c r="AC36" i="61"/>
  <c r="AH36" i="61"/>
  <c r="AK36" i="61"/>
  <c r="AP36" i="61"/>
  <c r="D11" i="61"/>
  <c r="D16" i="61" s="1"/>
  <c r="D17" i="61" s="1"/>
  <c r="AM23" i="61"/>
  <c r="AM35" i="61" s="1"/>
  <c r="AM36" i="61" s="1"/>
  <c r="T36" i="61"/>
  <c r="AF36" i="61"/>
  <c r="AN36" i="61"/>
  <c r="N36" i="61"/>
  <c r="P36" i="61"/>
  <c r="AL36" i="61"/>
  <c r="AD36" i="61"/>
  <c r="E36" i="61"/>
  <c r="D23" i="61" l="1"/>
  <c r="D35" i="61" l="1"/>
  <c r="D36" i="61" s="1"/>
  <c r="AJ11" i="17"/>
  <c r="AK11" i="17"/>
  <c r="AK22" i="17" l="1"/>
  <c r="AJ22" i="17"/>
  <c r="AK24" i="17" l="1"/>
  <c r="AJ24" i="17"/>
  <c r="C16" i="55"/>
  <c r="H10" i="72" l="1"/>
  <c r="K26" i="12" l="1"/>
  <c r="C96" i="14" l="1"/>
  <c r="J21" i="12" l="1"/>
  <c r="J26" i="12" s="1"/>
  <c r="D10" i="75" l="1"/>
  <c r="E10" i="75"/>
  <c r="F10" i="75"/>
  <c r="G10" i="75"/>
  <c r="H10" i="75"/>
  <c r="I10" i="75"/>
  <c r="D10" i="70" l="1"/>
  <c r="AU11" i="17" l="1"/>
  <c r="AT11" i="17"/>
  <c r="AT22" i="17" l="1"/>
  <c r="AU22" i="17"/>
  <c r="C28" i="72"/>
  <c r="AU24" i="17" l="1"/>
  <c r="AT24" i="17"/>
  <c r="I19" i="69"/>
  <c r="E10" i="74" l="1"/>
  <c r="E26" i="74" s="1"/>
  <c r="I25" i="69" l="1"/>
  <c r="D47" i="74" l="1"/>
  <c r="F18" i="16" l="1"/>
  <c r="E18" i="15"/>
  <c r="C17" i="74" l="1"/>
  <c r="C18" i="74"/>
  <c r="C19" i="74"/>
  <c r="C21" i="74"/>
  <c r="C16" i="74"/>
  <c r="C14" i="74"/>
  <c r="C11" i="74"/>
  <c r="C9" i="74"/>
  <c r="K10" i="74"/>
  <c r="K26" i="74" s="1"/>
  <c r="C20" i="74"/>
  <c r="C15" i="74"/>
  <c r="C13" i="74"/>
  <c r="C8" i="74"/>
  <c r="K11" i="17" l="1"/>
  <c r="K22" i="17" s="1"/>
  <c r="O10" i="70" l="1"/>
  <c r="U10" i="70"/>
  <c r="T10" i="70"/>
  <c r="S10" i="70"/>
  <c r="R10" i="70"/>
  <c r="Q10" i="70"/>
  <c r="P10" i="70"/>
  <c r="N10" i="70"/>
  <c r="AS11" i="17"/>
  <c r="AS22" i="17" s="1"/>
  <c r="AR11" i="17"/>
  <c r="AR22" i="17" s="1"/>
  <c r="AQ11" i="17"/>
  <c r="AQ22" i="17" s="1"/>
  <c r="AP11" i="17"/>
  <c r="AP22" i="17" s="1"/>
  <c r="AO11" i="17"/>
  <c r="AO22" i="17" s="1"/>
  <c r="AN11" i="17"/>
  <c r="AN22" i="17" s="1"/>
  <c r="AM11" i="17"/>
  <c r="AM22" i="17" s="1"/>
  <c r="AL11" i="17"/>
  <c r="AL22" i="17" s="1"/>
  <c r="W11" i="17"/>
  <c r="W22" i="17" s="1"/>
  <c r="J10" i="13"/>
  <c r="J24" i="13" s="1"/>
  <c r="I10" i="13"/>
  <c r="I24" i="13" s="1"/>
  <c r="V10" i="13" l="1"/>
  <c r="V24" i="13" s="1"/>
  <c r="K10" i="13"/>
  <c r="K24" i="13" s="1"/>
  <c r="C25" i="75" l="1"/>
  <c r="C24" i="75"/>
  <c r="C23" i="75"/>
  <c r="C22" i="75"/>
  <c r="C21" i="75"/>
  <c r="C11" i="75"/>
  <c r="K10" i="75"/>
  <c r="K26" i="75" s="1"/>
  <c r="I26" i="75"/>
  <c r="H26" i="75"/>
  <c r="G26" i="75"/>
  <c r="F26" i="75"/>
  <c r="E26" i="75"/>
  <c r="D26" i="75"/>
  <c r="C9" i="75"/>
  <c r="C8" i="75"/>
  <c r="C26" i="75" l="1"/>
  <c r="C10" i="75"/>
  <c r="D58" i="74"/>
  <c r="C22" i="74"/>
  <c r="C23" i="74"/>
  <c r="C24" i="74"/>
  <c r="C25" i="74"/>
  <c r="D10" i="74"/>
  <c r="D26" i="74" s="1"/>
  <c r="F10" i="74"/>
  <c r="C12" i="74"/>
  <c r="C10" i="74" s="1"/>
  <c r="J10" i="74"/>
  <c r="J26" i="74" s="1"/>
  <c r="I10" i="74"/>
  <c r="I26" i="74" s="1"/>
  <c r="H10" i="74"/>
  <c r="H26" i="74" s="1"/>
  <c r="G10" i="74"/>
  <c r="G26" i="74" s="1"/>
  <c r="C20" i="72"/>
  <c r="C11" i="72"/>
  <c r="C14" i="72"/>
  <c r="C15" i="72"/>
  <c r="C16" i="72"/>
  <c r="C17" i="72"/>
  <c r="C18" i="72"/>
  <c r="C19" i="72"/>
  <c r="C21" i="72"/>
  <c r="C22" i="72"/>
  <c r="C23" i="72"/>
  <c r="C24" i="72"/>
  <c r="D46" i="72"/>
  <c r="C13" i="72"/>
  <c r="K10" i="72"/>
  <c r="K26" i="72" s="1"/>
  <c r="I10" i="72"/>
  <c r="I26" i="72" s="1"/>
  <c r="G10" i="72"/>
  <c r="G26" i="72" s="1"/>
  <c r="F10" i="72"/>
  <c r="F26" i="72" s="1"/>
  <c r="E10" i="72"/>
  <c r="E26" i="72" s="1"/>
  <c r="J10" i="72"/>
  <c r="J26" i="72" s="1"/>
  <c r="L10" i="72"/>
  <c r="L26" i="72" s="1"/>
  <c r="D10" i="72"/>
  <c r="C25" i="72"/>
  <c r="S10" i="72"/>
  <c r="S26" i="72" s="1"/>
  <c r="R10" i="72"/>
  <c r="R26" i="72" s="1"/>
  <c r="Q10" i="72"/>
  <c r="Q26" i="72" s="1"/>
  <c r="C9" i="72"/>
  <c r="C8" i="72"/>
  <c r="D26" i="72" l="1"/>
  <c r="F26" i="74"/>
  <c r="C26" i="74"/>
  <c r="C12" i="72"/>
  <c r="C10" i="72" s="1"/>
  <c r="C26" i="72" s="1"/>
  <c r="C27" i="73"/>
  <c r="L10" i="74"/>
  <c r="L26" i="74" s="1"/>
  <c r="H26" i="72"/>
  <c r="O10" i="72"/>
  <c r="O26" i="72" s="1"/>
  <c r="T10" i="72"/>
  <c r="T26" i="72" s="1"/>
  <c r="P10" i="72"/>
  <c r="P26" i="72" s="1"/>
  <c r="N10" i="72"/>
  <c r="N26" i="72" s="1"/>
  <c r="M10" i="72"/>
  <c r="M26" i="72" l="1"/>
  <c r="K30" i="12" l="1"/>
  <c r="U26" i="70" l="1"/>
  <c r="T26" i="70"/>
  <c r="S26" i="70"/>
  <c r="R26" i="70"/>
  <c r="Q26" i="70"/>
  <c r="P26" i="70"/>
  <c r="O26" i="70"/>
  <c r="N26" i="70"/>
  <c r="AA11" i="17" l="1"/>
  <c r="W24" i="17"/>
  <c r="AS24" i="17"/>
  <c r="AR24" i="17"/>
  <c r="AQ24" i="17"/>
  <c r="AP24" i="17"/>
  <c r="AO24" i="17"/>
  <c r="AN24" i="17"/>
  <c r="AM24" i="17"/>
  <c r="AL24" i="17"/>
  <c r="N11" i="17"/>
  <c r="U11" i="17"/>
  <c r="T11" i="17"/>
  <c r="T22" i="17" s="1"/>
  <c r="S11" i="17"/>
  <c r="R11" i="17"/>
  <c r="Q11" i="17"/>
  <c r="P11" i="17"/>
  <c r="O11" i="17"/>
  <c r="U22" i="17" l="1"/>
  <c r="N22" i="17"/>
  <c r="Q22" i="17"/>
  <c r="R22" i="17"/>
  <c r="O22" i="17"/>
  <c r="S22" i="17"/>
  <c r="P22" i="17"/>
  <c r="T24" i="17"/>
  <c r="AA22" i="17"/>
  <c r="P24" i="17" l="1"/>
  <c r="AA24" i="17"/>
  <c r="U24" i="17"/>
  <c r="S24" i="17"/>
  <c r="N24" i="17"/>
  <c r="Q24" i="17"/>
  <c r="O24" i="17"/>
  <c r="R24" i="17"/>
  <c r="J32" i="13"/>
  <c r="I32" i="13"/>
  <c r="K32" i="13"/>
  <c r="V32" i="13"/>
  <c r="E11" i="17" l="1"/>
  <c r="E22" i="17" s="1"/>
  <c r="G9" i="56"/>
  <c r="G23" i="56" s="1"/>
  <c r="E24" i="17" l="1"/>
  <c r="F10" i="70" l="1"/>
  <c r="F26" i="70" s="1"/>
  <c r="C32" i="24" l="1"/>
  <c r="C15" i="2" l="1"/>
  <c r="I11" i="17" l="1"/>
  <c r="I22" i="17" s="1"/>
  <c r="I18" i="15" l="1"/>
  <c r="D10" i="16" l="1"/>
  <c r="F9" i="56" l="1"/>
  <c r="F23" i="56" s="1"/>
  <c r="C29" i="12" l="1"/>
  <c r="H19" i="69" l="1"/>
  <c r="H25" i="69" l="1"/>
  <c r="U19" i="13" l="1"/>
  <c r="U10" i="13"/>
  <c r="U24" i="13" l="1"/>
  <c r="F11" i="17"/>
  <c r="F22" i="17" s="1"/>
  <c r="G11" i="17"/>
  <c r="G22" i="17" s="1"/>
  <c r="H11" i="17"/>
  <c r="H22" i="17" s="1"/>
  <c r="L11" i="17"/>
  <c r="L22" i="17" s="1"/>
  <c r="X11" i="17"/>
  <c r="X22" i="17" s="1"/>
  <c r="Y11" i="17"/>
  <c r="Y22" i="17" s="1"/>
  <c r="AE11" i="17"/>
  <c r="AE22" i="17" s="1"/>
  <c r="AG11" i="17"/>
  <c r="AG22" i="17" s="1"/>
  <c r="AI11" i="17"/>
  <c r="AI22" i="17" s="1"/>
  <c r="AZ11" i="17"/>
  <c r="AZ22" i="17" s="1"/>
  <c r="AW11" i="17"/>
  <c r="AW22" i="17" s="1"/>
  <c r="AV11" i="17"/>
  <c r="AV22" i="17" s="1"/>
  <c r="AH11" i="17"/>
  <c r="AH22" i="17" s="1"/>
  <c r="AF11" i="17"/>
  <c r="AF22" i="17" s="1"/>
  <c r="AD11" i="17"/>
  <c r="AD22" i="17" s="1"/>
  <c r="AC11" i="17"/>
  <c r="AC22" i="17" s="1"/>
  <c r="Z11" i="17"/>
  <c r="Z22" i="17" s="1"/>
  <c r="V11" i="17"/>
  <c r="M11" i="17"/>
  <c r="J11" i="17"/>
  <c r="J22" i="17" s="1"/>
  <c r="C11" i="17"/>
  <c r="C22" i="17" s="1"/>
  <c r="E10" i="16"/>
  <c r="S10" i="13"/>
  <c r="R10" i="13"/>
  <c r="N10" i="13"/>
  <c r="G10" i="13"/>
  <c r="D10" i="13"/>
  <c r="U32" i="13" l="1"/>
  <c r="M22" i="17"/>
  <c r="V22" i="17"/>
  <c r="C24" i="17"/>
  <c r="F18" i="15" l="1"/>
  <c r="G18" i="15"/>
  <c r="H18" i="15"/>
  <c r="D18" i="15" l="1"/>
  <c r="F10" i="13"/>
  <c r="E10" i="13"/>
  <c r="C25" i="55" l="1"/>
  <c r="H10" i="70" l="1"/>
  <c r="H26" i="70" s="1"/>
  <c r="M10" i="70"/>
  <c r="M26" i="70" s="1"/>
  <c r="G10" i="70"/>
  <c r="G26" i="70" s="1"/>
  <c r="E10" i="70"/>
  <c r="E26" i="70" l="1"/>
  <c r="D26" i="70"/>
  <c r="C44" i="14"/>
  <c r="C32" i="14" l="1"/>
  <c r="C52" i="14" l="1"/>
  <c r="C15" i="14"/>
  <c r="G19" i="69"/>
  <c r="G25" i="69" s="1"/>
  <c r="F19" i="69"/>
  <c r="E19" i="69"/>
  <c r="D19" i="69"/>
  <c r="C25" i="69"/>
  <c r="E20" i="68"/>
  <c r="D20" i="68"/>
  <c r="C20" i="68"/>
  <c r="E10" i="68"/>
  <c r="D10" i="68"/>
  <c r="E25" i="69" l="1"/>
  <c r="F25" i="69"/>
  <c r="D25" i="69"/>
  <c r="D24" i="68"/>
  <c r="E24" i="68"/>
  <c r="C10" i="68"/>
  <c r="C24" i="68" s="1"/>
  <c r="Q10" i="13" l="1"/>
  <c r="M10" i="13" l="1"/>
  <c r="T10" i="13"/>
  <c r="H10" i="13"/>
  <c r="C10" i="13" l="1"/>
  <c r="K24" i="17"/>
  <c r="L24" i="17"/>
  <c r="C27" i="12" l="1"/>
  <c r="M21" i="12" l="1"/>
  <c r="M26" i="12" s="1"/>
  <c r="L21" i="12"/>
  <c r="L26" i="12" s="1"/>
  <c r="L30" i="12" l="1"/>
  <c r="Z24" i="17"/>
  <c r="M30" i="12" l="1"/>
  <c r="Y24" i="17"/>
  <c r="AH24" i="17" l="1"/>
  <c r="AF24" i="17" l="1"/>
  <c r="AG24" i="17"/>
  <c r="H24" i="17" l="1"/>
  <c r="E18" i="16" l="1"/>
  <c r="E23" i="16" l="1"/>
  <c r="I10" i="15"/>
  <c r="I23" i="15" s="1"/>
  <c r="E27" i="16" l="1"/>
  <c r="I27" i="15"/>
  <c r="D21" i="12"/>
  <c r="D26" i="12" s="1"/>
  <c r="F19" i="13" l="1"/>
  <c r="F24" i="13" s="1"/>
  <c r="G19" i="13"/>
  <c r="G24" i="13" s="1"/>
  <c r="H19" i="13"/>
  <c r="H24" i="13" s="1"/>
  <c r="T19" i="13"/>
  <c r="T24" i="13" s="1"/>
  <c r="D19" i="13"/>
  <c r="M19" i="13"/>
  <c r="M24" i="13" s="1"/>
  <c r="N19" i="13"/>
  <c r="N24" i="13" s="1"/>
  <c r="S24" i="13"/>
  <c r="Q19" i="13"/>
  <c r="Q24" i="13" s="1"/>
  <c r="R19" i="13"/>
  <c r="R24" i="13" s="1"/>
  <c r="E19" i="13"/>
  <c r="E24" i="13" s="1"/>
  <c r="C19" i="13" l="1"/>
  <c r="D24" i="13"/>
  <c r="E32" i="13"/>
  <c r="R32" i="13"/>
  <c r="Q32" i="13"/>
  <c r="C24" i="13" l="1"/>
  <c r="X24" i="17"/>
  <c r="M24" i="17"/>
  <c r="AE24" i="17" l="1"/>
  <c r="G10" i="15" l="1"/>
  <c r="G23" i="15" s="1"/>
  <c r="H10" i="15"/>
  <c r="H23" i="15" s="1"/>
  <c r="M32" i="13"/>
  <c r="O32" i="13" l="1"/>
  <c r="N32" i="13"/>
  <c r="G27" i="15" l="1"/>
  <c r="H27" i="15"/>
  <c r="P32" i="13"/>
  <c r="S32" i="13"/>
  <c r="AI24" i="17"/>
  <c r="AC24" i="17"/>
  <c r="AD24" i="17"/>
  <c r="J24" i="17" l="1"/>
  <c r="I24" i="17" l="1"/>
  <c r="G24" i="17"/>
  <c r="T32" i="13" l="1"/>
  <c r="D32" i="13"/>
  <c r="P21" i="12"/>
  <c r="P26" i="12" s="1"/>
  <c r="O21" i="12"/>
  <c r="O26" i="12" s="1"/>
  <c r="N21" i="12"/>
  <c r="N26" i="12" s="1"/>
  <c r="O30" i="12" l="1"/>
  <c r="P30" i="12"/>
  <c r="N30" i="12"/>
  <c r="F26" i="21"/>
  <c r="E9" i="56" l="1"/>
  <c r="E23" i="56" s="1"/>
  <c r="F10" i="15" l="1"/>
  <c r="F23" i="15" l="1"/>
  <c r="F27" i="15" l="1"/>
  <c r="E10" i="15"/>
  <c r="E23" i="15" l="1"/>
  <c r="D23" i="15" s="1"/>
  <c r="D10" i="15"/>
  <c r="E27" i="15" l="1"/>
  <c r="D27" i="15" s="1"/>
  <c r="D10" i="21"/>
  <c r="D26" i="21" s="1"/>
  <c r="AV24" i="17" l="1"/>
  <c r="V24" i="17" l="1"/>
  <c r="G10" i="21"/>
  <c r="G26" i="21" s="1"/>
  <c r="C10" i="21"/>
  <c r="C26" i="21" s="1"/>
  <c r="F24" i="17"/>
  <c r="F10" i="16"/>
  <c r="C10" i="16" s="1"/>
  <c r="C24" i="29"/>
  <c r="E10" i="21"/>
  <c r="E26" i="21" s="1"/>
  <c r="H10" i="21"/>
  <c r="H26" i="21" s="1"/>
  <c r="D18" i="16"/>
  <c r="C18" i="16" s="1"/>
  <c r="E21" i="12"/>
  <c r="E26" i="12" s="1"/>
  <c r="F21" i="12"/>
  <c r="F26" i="12" s="1"/>
  <c r="G21" i="12"/>
  <c r="G26" i="12" s="1"/>
  <c r="H21" i="12"/>
  <c r="H26" i="12" s="1"/>
  <c r="I21" i="12"/>
  <c r="I26" i="12" s="1"/>
  <c r="AZ24" i="17"/>
  <c r="C23" i="16" l="1"/>
  <c r="F23" i="16"/>
  <c r="D23" i="16"/>
  <c r="C21" i="12"/>
  <c r="C26" i="12" s="1"/>
  <c r="H30" i="12"/>
  <c r="AW24" i="17"/>
  <c r="D27" i="16" l="1"/>
  <c r="D30" i="12"/>
  <c r="C30" i="12"/>
  <c r="J30" i="12"/>
  <c r="I30" i="12"/>
  <c r="F30" i="12"/>
  <c r="E30" i="12"/>
  <c r="G30" i="12"/>
  <c r="H32" i="13"/>
  <c r="G32" i="13"/>
  <c r="F32" i="13"/>
  <c r="C32" i="13" l="1"/>
  <c r="F27" i="16"/>
  <c r="C27" i="16" s="1"/>
  <c r="S14" i="62"/>
  <c r="S15" i="62" s="1"/>
  <c r="S35" i="62" s="1"/>
  <c r="D11" i="62"/>
  <c r="D14" i="62" s="1"/>
  <c r="D15" i="62" s="1"/>
  <c r="D35" i="62" s="1"/>
</calcChain>
</file>

<file path=xl/sharedStrings.xml><?xml version="1.0" encoding="utf-8"?>
<sst xmlns="http://schemas.openxmlformats.org/spreadsheetml/2006/main" count="1916" uniqueCount="947">
  <si>
    <t>PAMATBUDŽETS</t>
  </si>
  <si>
    <t>Cīrulītis</t>
  </si>
  <si>
    <t>Dzīpariņš</t>
  </si>
  <si>
    <t>Zelta sietiņš</t>
  </si>
  <si>
    <t>Saulīte</t>
  </si>
  <si>
    <t>Ābelīte</t>
  </si>
  <si>
    <t>Strautiņš</t>
  </si>
  <si>
    <t>Kods</t>
  </si>
  <si>
    <t>Ieņēmumi</t>
  </si>
  <si>
    <t>Ārvalstu finanšu palīdzība</t>
  </si>
  <si>
    <t>Izdevumi</t>
  </si>
  <si>
    <t>Darba samaksa</t>
  </si>
  <si>
    <t>Darba devēja valsts sociālās apdrošināšanas obligātās iemaksas, sociālā rakstura pabalsti un kompensācija</t>
  </si>
  <si>
    <t>Preces un pakalpojumi</t>
  </si>
  <si>
    <t>Komandējumi un dienesta braucieni</t>
  </si>
  <si>
    <t>Pakalpojumi</t>
  </si>
  <si>
    <t>Krājumi,materiāli,energoresursi,prece,biroja preces un inventārs, ko neuzskaita  5000. kodā</t>
  </si>
  <si>
    <t>Budžeta iestāžu nodokļu maksājumi</t>
  </si>
  <si>
    <t>Subsīdijas komersantiem, sabiedriskajām org. un citām institūcijām</t>
  </si>
  <si>
    <t>Procentu maksājumi iekšzemes kredītiestādēm</t>
  </si>
  <si>
    <t xml:space="preserve">Pārējie procentu maksājumi </t>
  </si>
  <si>
    <t>Pašvaldību bužetu procentu maksājumi Valsts Kasei</t>
  </si>
  <si>
    <t>Nemateriālie ieguldījumi</t>
  </si>
  <si>
    <t>Pamatlīdzekļi</t>
  </si>
  <si>
    <t xml:space="preserve">Sociālie pabalsti naudā </t>
  </si>
  <si>
    <t>Pašvaldību budžeta kārtējo izdevumu transferti</t>
  </si>
  <si>
    <t xml:space="preserve"> IZDEVUMI KOPĀ</t>
  </si>
  <si>
    <t>Ogresgala pamatsk.</t>
  </si>
  <si>
    <t>Kopā:</t>
  </si>
  <si>
    <t>Kopā</t>
  </si>
  <si>
    <t>Pašvaldības policija</t>
  </si>
  <si>
    <t>Ieņēmumi - KOPĀ</t>
  </si>
  <si>
    <t>01.720</t>
  </si>
  <si>
    <t>Parādu darījumi</t>
  </si>
  <si>
    <t xml:space="preserve">   Izdevuma pozīcijas nosaukums             </t>
  </si>
  <si>
    <t>Pārvietojamo tualešu uzturēšana</t>
  </si>
  <si>
    <t xml:space="preserve">Ogres novada pašvaldības sabiedriskās kārtības un drošības izdevumu tāme pēc </t>
  </si>
  <si>
    <t xml:space="preserve">Ogres novada pašvaldības sociālās aizsardzības izdevumu tāmes pēc </t>
  </si>
  <si>
    <t xml:space="preserve">KOPĀ </t>
  </si>
  <si>
    <t>Izpildvara</t>
  </si>
  <si>
    <t xml:space="preserve">Ogres novada pašvaldības vispārējo valdības dienestu izdevumu tāme pēc </t>
  </si>
  <si>
    <t>Struktūrvienības klasifikācijas kods 01.000</t>
  </si>
  <si>
    <t>Ogres novada Sporta attīstības komisija</t>
  </si>
  <si>
    <t>frisbijs</t>
  </si>
  <si>
    <t xml:space="preserve">Sociālie pabalsti </t>
  </si>
  <si>
    <t>Sociālie pabalsti natūrā</t>
  </si>
  <si>
    <t>Izdevumi periodikas iegādie</t>
  </si>
  <si>
    <t>Izdevumi periodikas iegādei</t>
  </si>
  <si>
    <t>Mērķdotācijas 5-6 gadīgo apmācībai</t>
  </si>
  <si>
    <t>Mērķdotācijas interešu izgl.</t>
  </si>
  <si>
    <t>Būvvalde</t>
  </si>
  <si>
    <t>Dotācija pedagogiem</t>
  </si>
  <si>
    <t>hokejs</t>
  </si>
  <si>
    <t>Saņemtie projektu līdzekļi</t>
  </si>
  <si>
    <t>handbols</t>
  </si>
  <si>
    <t>Atbalsts bezdarba gadījumā</t>
  </si>
  <si>
    <t>Sporta pasākumi</t>
  </si>
  <si>
    <t>Riekstiņš</t>
  </si>
  <si>
    <t>florbols</t>
  </si>
  <si>
    <t>Pārējie maksājumi iedzīvotājiem natūrā un kompensācijas</t>
  </si>
  <si>
    <t>Aprūpes pakalpojumi</t>
  </si>
  <si>
    <t>08.1001</t>
  </si>
  <si>
    <t>08.2202</t>
  </si>
  <si>
    <t>08.29002</t>
  </si>
  <si>
    <t>10.70001</t>
  </si>
  <si>
    <t>10.70002</t>
  </si>
  <si>
    <t>09.21901</t>
  </si>
  <si>
    <t>09.21902</t>
  </si>
  <si>
    <t>09.21903</t>
  </si>
  <si>
    <t>09.21904</t>
  </si>
  <si>
    <t>09.10002</t>
  </si>
  <si>
    <t>09.10003</t>
  </si>
  <si>
    <t>09.10004</t>
  </si>
  <si>
    <t>09.10005</t>
  </si>
  <si>
    <t>09.10006</t>
  </si>
  <si>
    <t>09.10007</t>
  </si>
  <si>
    <t>09.10008</t>
  </si>
  <si>
    <t>09.5101</t>
  </si>
  <si>
    <t>09.5102</t>
  </si>
  <si>
    <t>Dotāc. Komers.,biedrībām un nodibinājumiem</t>
  </si>
  <si>
    <t>vieglatlētika</t>
  </si>
  <si>
    <t>dažādi</t>
  </si>
  <si>
    <t>Ogres Valsts ģimnāzija</t>
  </si>
  <si>
    <t xml:space="preserve">Struktūrvienības klasifikācijas kods  09.100  </t>
  </si>
  <si>
    <t>Strūklakas uzturēšana</t>
  </si>
  <si>
    <t>orientēšanās</t>
  </si>
  <si>
    <t>basketbols</t>
  </si>
  <si>
    <t>autokross</t>
  </si>
  <si>
    <t xml:space="preserve">Ogres novada pašvaldības PII iestāžu izdevumu tāmes pēc </t>
  </si>
  <si>
    <t xml:space="preserve">Ogres novada pašvaldības vidusskolu un pamatskolu izdevumu tāme pēc </t>
  </si>
  <si>
    <t xml:space="preserve">Ogres novada pašvaldības Interešu un profesionālās ievirzes izglītības iestāžu izdevumu tāme pēc </t>
  </si>
  <si>
    <t xml:space="preserve">Struktūrvienības klasifikācijas kods </t>
  </si>
  <si>
    <t xml:space="preserve">Ogres novada pašvaldības kultūras iestāžu izdevumu tāme pēc </t>
  </si>
  <si>
    <t>Koplietošanas telpu elektropatēriņa izmaksas soc.mājās</t>
  </si>
  <si>
    <t>( EUR)</t>
  </si>
  <si>
    <t>Informatīvi pasākumi uzņēmējiem</t>
  </si>
  <si>
    <t>Starptautiskā sadarbība</t>
  </si>
  <si>
    <t>Pašvaldību kapitālo izdevumu transferti uz valsts budžetu</t>
  </si>
  <si>
    <t>karatē</t>
  </si>
  <si>
    <t>Kompensācijas, kuras izmaksā personām, pamatojoties uz tiesas nolēmumiem</t>
  </si>
  <si>
    <t>Pilsētas dekorēš. svētkiem</t>
  </si>
  <si>
    <t>Informat. izdevumi</t>
  </si>
  <si>
    <t>Nr.</t>
  </si>
  <si>
    <t>Funkcijas nosaukums</t>
  </si>
  <si>
    <t xml:space="preserve">Pilsētas teritoriju sanitārā apkope </t>
  </si>
  <si>
    <t>Autobusu pieturu un soliņu remonti</t>
  </si>
  <si>
    <t>Bērnu rotaļu laukumu labiekārtošana, aprīkojuma apkope</t>
  </si>
  <si>
    <t>Labiekārtošanas darbi  Ogresgala pagastā - pļaušana, apstādījumu kopšana</t>
  </si>
  <si>
    <t>Pilsētas apzaļumošana</t>
  </si>
  <si>
    <t>Sociālo funkciju realizācijai soc.mājās</t>
  </si>
  <si>
    <t>Pašvaldības dzīvokļu remonts</t>
  </si>
  <si>
    <t>Pilsētas lietus kanalizācijas ekspluatācija un remonts</t>
  </si>
  <si>
    <t>Polderu sūknētavas ekspluatācija</t>
  </si>
  <si>
    <t>Ielu apgaismojuma izmaksas Indrānu ielā</t>
  </si>
  <si>
    <t>Pārsūknēšanas stacijas Ogre-3 elektroenerģijas izmaksas</t>
  </si>
  <si>
    <t>Apkure un īre pašvaldības tukšajos dzīvokļos</t>
  </si>
  <si>
    <t>Ceļazīmju, ielu nosaukumu zīmju un aizsargbarjeru uzstādīšana un uzturēšana</t>
  </si>
  <si>
    <t>Pārņemto domes komunālās nodaļas funkciju realizācija</t>
  </si>
  <si>
    <t>Kapu uzturēšana</t>
  </si>
  <si>
    <t>Finansējums skolām un pašvaldības iestādēm par baseinu</t>
  </si>
  <si>
    <t>Finansējums atlaidēm par baseinu un sporta klubam Ogre</t>
  </si>
  <si>
    <t xml:space="preserve">Ogres novada pašvaldības Interešu un profesionālās ievirzes izglītības iestāžu izdevumu </t>
  </si>
  <si>
    <r>
      <t xml:space="preserve">Struktūrvienības klasifikācijas kods </t>
    </r>
    <r>
      <rPr>
        <b/>
        <sz val="12"/>
        <rFont val="Arial"/>
        <family val="2"/>
        <charset val="186"/>
      </rPr>
      <t/>
    </r>
  </si>
  <si>
    <t>04.11101 Uzņēmējdarbības  attīstības veicināšanai</t>
  </si>
  <si>
    <t>08.29001</t>
  </si>
  <si>
    <t>Aktivitāte</t>
  </si>
  <si>
    <t>EKK</t>
  </si>
  <si>
    <t>10.70003</t>
  </si>
  <si>
    <t>Soc. dienesta asistentu pakalpojumi</t>
  </si>
  <si>
    <t>PAVISAM KOPĀ</t>
  </si>
  <si>
    <t>KOPĀ</t>
  </si>
  <si>
    <t xml:space="preserve">                                              Līdzekļu atlikums uz gada sākumu</t>
  </si>
  <si>
    <t>Dotācija no visp. ieņēm.(pašv.līdzf.)</t>
  </si>
  <si>
    <t xml:space="preserve">                                                                                                        Līdzekļi pavisam ar  atlikumu</t>
  </si>
  <si>
    <t>Grāmatas un periodiskie izdevumi</t>
  </si>
  <si>
    <t>Dotācijas biedrībām un nodibinājumiem</t>
  </si>
  <si>
    <t>Pašvaldību uzturēšanas izdevumu transferti uz valsts budžetu</t>
  </si>
  <si>
    <t xml:space="preserve">ES Projekta finansējums </t>
  </si>
  <si>
    <t>09.8101</t>
  </si>
  <si>
    <t>08.3301</t>
  </si>
  <si>
    <t>03.1101</t>
  </si>
  <si>
    <t>03.2001</t>
  </si>
  <si>
    <t>03.6001</t>
  </si>
  <si>
    <t>10.5001</t>
  </si>
  <si>
    <t>01.83011</t>
  </si>
  <si>
    <t>01.8901</t>
  </si>
  <si>
    <t>04.4301</t>
  </si>
  <si>
    <t>04.11102</t>
  </si>
  <si>
    <t>04.11103</t>
  </si>
  <si>
    <t>01.8201</t>
  </si>
  <si>
    <t>Zaudējumi no valūtas kursa svārstībām</t>
  </si>
  <si>
    <t>Mērķdotācijas tautas kolektīvu vad.</t>
  </si>
  <si>
    <t>Plāns</t>
  </si>
  <si>
    <t>Ogres novadnieka karte</t>
  </si>
  <si>
    <t>Finansējums asistenta pakalpojumiem</t>
  </si>
  <si>
    <t>04.11116</t>
  </si>
  <si>
    <t>01.6001</t>
  </si>
  <si>
    <t>Vēlēšanu komisija</t>
  </si>
  <si>
    <t>Finansējums peldbaseinam "Neptūns"</t>
  </si>
  <si>
    <t>Garāžu noma</t>
  </si>
  <si>
    <t>Ielu apgaismojuma rekonstrukcijas darbiem saskaņā ar Latvenergo plānotajiem remontiem</t>
  </si>
  <si>
    <t>Pasta, telefona un citu sakaru pakalpojumiem</t>
  </si>
  <si>
    <t>Kapu apgaismojumam</t>
  </si>
  <si>
    <t>Artūrs Pastors</t>
  </si>
  <si>
    <t xml:space="preserve">Ogres novada pašvaldības Projektu ieņēmumu un izdevumu tāmes pēc </t>
  </si>
  <si>
    <t>08.4001</t>
  </si>
  <si>
    <t>Dotācija no visp. ieņēm.(pašv.finansējums)</t>
  </si>
  <si>
    <t>Nepieciešmais kredīts</t>
  </si>
  <si>
    <t>No iepriekšējā gada pārejošais kredīts</t>
  </si>
  <si>
    <t xml:space="preserve"> </t>
  </si>
  <si>
    <t>09.82003</t>
  </si>
  <si>
    <t>09.82010</t>
  </si>
  <si>
    <t>Budžeta iestāžu nodokļu, nodevu un sankciju maksājumi</t>
  </si>
  <si>
    <t>04.7301</t>
  </si>
  <si>
    <t>07.4502</t>
  </si>
  <si>
    <t>08.3101</t>
  </si>
  <si>
    <t>09.10010</t>
  </si>
  <si>
    <t>Finans. bērniem, kuri apmeklē priv. PII</t>
  </si>
  <si>
    <t>Mācību, darba un dienesta komandējumi, darba braucieni</t>
  </si>
  <si>
    <t>10.70010</t>
  </si>
  <si>
    <t>Nauris Neimanis</t>
  </si>
  <si>
    <t xml:space="preserve">          Detalizēts sadalījums</t>
  </si>
  <si>
    <t>Atkritumu izvešana no Ogres pilsētas teritorijām</t>
  </si>
  <si>
    <t>Pašvaldības līdzfinansējums asfaltēšanas darbiem dzīv.māju iekšpagalmos</t>
  </si>
  <si>
    <t>Brīvības ielas gājēju tuneļa pacēlāju apkalpošana</t>
  </si>
  <si>
    <t>Decentralizēto notekūdeņu uzskaites un kontroles nodrošināšana</t>
  </si>
  <si>
    <t>Ceļu, trotuāru un stāvlaukumu rekonstrukcijai</t>
  </si>
  <si>
    <t>Ogres kapsētas "Smiltāju kapi" teritorijas stāvlaukuma un pievedceļa uzturēšanai</t>
  </si>
  <si>
    <t>Digitālas latas Palienes iela 4, iekārtu apkopei un datu apziņošanas sistēmas uzturēšanai</t>
  </si>
  <si>
    <t xml:space="preserve">Ielu un ceļu ikdienas uzturēšanai un  maģistrālo ielu ikdienas uzturēšanai   (no mērķdotācijas)                                  </t>
  </si>
  <si>
    <t>Projektu pieteikumu izstrāde, tehniskās dokumentācijas sagatavošana, ekspertīzes, auditi</t>
  </si>
  <si>
    <t>18.630</t>
  </si>
  <si>
    <t>18.620</t>
  </si>
  <si>
    <t>21.100</t>
  </si>
  <si>
    <t>Izglītības pārvalde</t>
  </si>
  <si>
    <t>09.5107</t>
  </si>
  <si>
    <t>Naudas balvas</t>
  </si>
  <si>
    <t>Kompensācijas, kuras izmaksā personām, pamatojoties uz Latvijas tiesu nolēmumiem</t>
  </si>
  <si>
    <t>09.21912</t>
  </si>
  <si>
    <t>Finans. bērniem, kuri apmeklē priv. izglīt.iest.</t>
  </si>
  <si>
    <t>Nedarbojošo, bojāto ūgunsdzēsības hidrantu nomaiņa Ogres pilsētā</t>
  </si>
  <si>
    <t>Kapsētu informācijas digitalizācijai un datu pārvaldības sistēmas uzturēšanai</t>
  </si>
  <si>
    <t>Valters Reneslācis</t>
  </si>
  <si>
    <t>Pielikums Pielikumam Nr.2</t>
  </si>
  <si>
    <t>Komunālie pakalpojumi pašvaldības īpašumos (Gaismas prospekts Nr. 2/6, Brīvības 44, Mālkalnes prospekts Nr. 10 u.c.)</t>
  </si>
  <si>
    <t>svarcelšana</t>
  </si>
  <si>
    <t>Pārējie valsts budžeta uzturēšanas izdevumu transferti citiem budžetiem</t>
  </si>
  <si>
    <t>Ogres novada bāriņtiesa</t>
  </si>
  <si>
    <t>Gaismiņa</t>
  </si>
  <si>
    <t>Birztaliņa</t>
  </si>
  <si>
    <t>Pūt vējiņi</t>
  </si>
  <si>
    <t>Urdaviņa</t>
  </si>
  <si>
    <t>Čiekuriņš</t>
  </si>
  <si>
    <t>Saņemtie projektu līdzekļi (VALSTS)</t>
  </si>
  <si>
    <t>Ķeguma bibliotēka</t>
  </si>
  <si>
    <t>Birzgales bibliotēka</t>
  </si>
  <si>
    <t>Ikšķiles vidusskola</t>
  </si>
  <si>
    <t>Ikšķiles bibliotēka</t>
  </si>
  <si>
    <t>Ikšķiles tautas nams</t>
  </si>
  <si>
    <t>Tīnūžu tautas nams</t>
  </si>
  <si>
    <t>Kultūras mantojuma centrs "Tīnūžu muiža"</t>
  </si>
  <si>
    <t>Birzgales pamatskola</t>
  </si>
  <si>
    <t>E.Kauliņa Lielvārdes vidusskola</t>
  </si>
  <si>
    <t>Lielvārdes pamatskola</t>
  </si>
  <si>
    <t>Valdemāra pamatsk.</t>
  </si>
  <si>
    <t>Ķeguma tautas nams</t>
  </si>
  <si>
    <t>06.60006</t>
  </si>
  <si>
    <t>08.29011</t>
  </si>
  <si>
    <t>A.Pumpura Lielvārdes muzejs</t>
  </si>
  <si>
    <t>Projektu konkurss veidojam vidi ap mums</t>
  </si>
  <si>
    <t>Projektu konkurss RADI Ogres novadam</t>
  </si>
  <si>
    <t>Valsts programma "Latvijas Skolas Soma"</t>
  </si>
  <si>
    <t>Ogres novada pašvaldības jaunatnes iniciatīvu projektu konkurss "Jauniešu iespējas"</t>
  </si>
  <si>
    <t>Sadarbībā ar Rīgas tehnisko universitāti, BJU interešu izglītības nodarbības un ekskursijas</t>
  </si>
  <si>
    <t>17.200</t>
  </si>
  <si>
    <t>A6 šosejas zaļās zonas pļaušana un zāles savākšana, izvešana (4xsezonā)</t>
  </si>
  <si>
    <t>Ogres Mūzikas un mākslas skola</t>
  </si>
  <si>
    <t>Lielvārdes Mūzikas un mākslas skola</t>
  </si>
  <si>
    <t>Ikšķiles Mūzikas un mākslas skola</t>
  </si>
  <si>
    <t>Birzgales mūzikas skola</t>
  </si>
  <si>
    <t>Lielvārdes Sporta centrs</t>
  </si>
  <si>
    <t>Tīnūžu bibliotēka</t>
  </si>
  <si>
    <t>Birzgales tautas nams</t>
  </si>
  <si>
    <t>Rembates tautas nams</t>
  </si>
  <si>
    <t>Tomes tautas nams</t>
  </si>
  <si>
    <t>Birzgales muzejs Rūķi</t>
  </si>
  <si>
    <t xml:space="preserve">Ķeguma muzejs </t>
  </si>
  <si>
    <t>09.10012</t>
  </si>
  <si>
    <t>09.10013</t>
  </si>
  <si>
    <t>09.10014</t>
  </si>
  <si>
    <t>09.10015</t>
  </si>
  <si>
    <t>09.10016</t>
  </si>
  <si>
    <t>09.21920</t>
  </si>
  <si>
    <t>09.21102</t>
  </si>
  <si>
    <t>09.21913</t>
  </si>
  <si>
    <t>09.21914</t>
  </si>
  <si>
    <t>09.21915</t>
  </si>
  <si>
    <t>09.21916</t>
  </si>
  <si>
    <t>09.21917</t>
  </si>
  <si>
    <t>09.21918</t>
  </si>
  <si>
    <t>09.21919</t>
  </si>
  <si>
    <t xml:space="preserve">Kopā </t>
  </si>
  <si>
    <t>09.82024</t>
  </si>
  <si>
    <t>Jumpravas bibliotēka</t>
  </si>
  <si>
    <t>Lēdmanes bibliotēka</t>
  </si>
  <si>
    <t>Lielvārdes pilsētas, Lāčplēša bibliotēka</t>
  </si>
  <si>
    <t>09.5108</t>
  </si>
  <si>
    <t>09.5109</t>
  </si>
  <si>
    <t>09.5110</t>
  </si>
  <si>
    <t>09.5103</t>
  </si>
  <si>
    <t>08.2105</t>
  </si>
  <si>
    <t>08.2106</t>
  </si>
  <si>
    <t>08.2107</t>
  </si>
  <si>
    <t>08.2108</t>
  </si>
  <si>
    <t>08.2109</t>
  </si>
  <si>
    <t>08.2103</t>
  </si>
  <si>
    <t>08.2104</t>
  </si>
  <si>
    <t>08.2205</t>
  </si>
  <si>
    <t>08.2206</t>
  </si>
  <si>
    <t>08.2207</t>
  </si>
  <si>
    <t>08.2304</t>
  </si>
  <si>
    <t>08.2305</t>
  </si>
  <si>
    <t>08.2307</t>
  </si>
  <si>
    <t>08.2308</t>
  </si>
  <si>
    <t>08.2309</t>
  </si>
  <si>
    <t>08.2310</t>
  </si>
  <si>
    <t>09.6201</t>
  </si>
  <si>
    <t>09.6101</t>
  </si>
  <si>
    <t>futbols</t>
  </si>
  <si>
    <t>ziemeļu divcīņa</t>
  </si>
  <si>
    <t>Ogres novada izlase</t>
  </si>
  <si>
    <t>skriešana</t>
  </si>
  <si>
    <t>Dalība LV izlases sastāvā</t>
  </si>
  <si>
    <t>Olimpiskā vienība</t>
  </si>
  <si>
    <t>U20</t>
  </si>
  <si>
    <t>U18</t>
  </si>
  <si>
    <t>Nils Meijers</t>
  </si>
  <si>
    <t>P</t>
  </si>
  <si>
    <t>U16</t>
  </si>
  <si>
    <t>U14</t>
  </si>
  <si>
    <t>Izdevumi par elektroenerģiju</t>
  </si>
  <si>
    <t>Pielikums pielikumam Nr. 2</t>
  </si>
  <si>
    <t>Ķeguma dienas centrs</t>
  </si>
  <si>
    <t>Tomes dienas centrs</t>
  </si>
  <si>
    <t>Finans. bērniem, kuri apmeklē priv. Interešu izglīt.iest.</t>
  </si>
  <si>
    <t>Lēdmanes pārvalde</t>
  </si>
  <si>
    <t xml:space="preserve"> Jumpravas pārvalde</t>
  </si>
  <si>
    <t>Lielvārdes pārvalde</t>
  </si>
  <si>
    <t>Birzgales pārvalde</t>
  </si>
  <si>
    <t>06.600122</t>
  </si>
  <si>
    <t>06.600123</t>
  </si>
  <si>
    <t>06.600124</t>
  </si>
  <si>
    <t>06.600125</t>
  </si>
  <si>
    <t>06.600126</t>
  </si>
  <si>
    <t>06.600127</t>
  </si>
  <si>
    <t>06.600128</t>
  </si>
  <si>
    <t>06.600129</t>
  </si>
  <si>
    <t>Tomes pārvalde</t>
  </si>
  <si>
    <t>Rembates pārvalde</t>
  </si>
  <si>
    <t>Ikšķiles pārvalde</t>
  </si>
  <si>
    <t>Ķeguma pārvalde</t>
  </si>
  <si>
    <t>SIA Ikšķiles māja finansējums domes deleģētofunkciju izpildei</t>
  </si>
  <si>
    <t>SIA Lielvārdes Remte  finansējums domes deleģētofunkciju izpildei</t>
  </si>
  <si>
    <t>SIA Ķeguma stars  finansējums domes deleģētofunkciju izpildei</t>
  </si>
  <si>
    <t>jātnieku sports</t>
  </si>
  <si>
    <t>Aelita Krasiļščikova</t>
  </si>
  <si>
    <t>07.2101</t>
  </si>
  <si>
    <t xml:space="preserve">Ogres novada pašvaldības teritoriju un mājokļu apsaimniekošanas iestāžu izdevumu tāme pēc </t>
  </si>
  <si>
    <t xml:space="preserve">Ogres novada pašvaldības iestāžu izdevumu tāmes pēc </t>
  </si>
  <si>
    <t>Struktūrvienības klasifikācijas kods</t>
  </si>
  <si>
    <t xml:space="preserve">Tīnūžu sākumskola </t>
  </si>
  <si>
    <t xml:space="preserve">Jumpravas pamtskola </t>
  </si>
  <si>
    <t xml:space="preserve">Lēdmanes pamatskola </t>
  </si>
  <si>
    <t>Basketbola skola</t>
  </si>
  <si>
    <t>08.2101</t>
  </si>
  <si>
    <t>10.920</t>
  </si>
  <si>
    <t>1100/1200</t>
  </si>
  <si>
    <t>Par satiksmes organizēšanu un uzraudzību (VF)</t>
  </si>
  <si>
    <t>09.21921</t>
  </si>
  <si>
    <t>Ogres Centra pamatskola</t>
  </si>
  <si>
    <t>Ogres Vēstures, mākslas muzejs</t>
  </si>
  <si>
    <t>09.82073</t>
  </si>
  <si>
    <t>09.82074</t>
  </si>
  <si>
    <t>Pašvaldības sociālā stipendija vispārējās vidējās izglītības iestāžu izglītojamajiem</t>
  </si>
  <si>
    <t>Pašvaldības stipendija studējošiem pedagogiem</t>
  </si>
  <si>
    <t>Līdzfinansējums zaudējumiem maršrutā Nr.5386 Ogre-Turkalne-Tīnūži-Ikšķile-Ogre brīvdienās un svētku dienās</t>
  </si>
  <si>
    <t xml:space="preserve">Stāvlaukumu uzturēšanai  Ogres pilsētā un Ogresgala pagastā   </t>
  </si>
  <si>
    <t xml:space="preserve">Transporta intensitātes uzskaite pašvaldības autoceļiem Ogres pilsētā un Ogresgala pagastā </t>
  </si>
  <si>
    <t>09.5111</t>
  </si>
  <si>
    <t>KSS Suntažu ielā 2, Ogrē remonti un uzturēšana</t>
  </si>
  <si>
    <t>klubi</t>
  </si>
  <si>
    <t>sporta spēles</t>
  </si>
  <si>
    <t>telpu, ēku noma</t>
  </si>
  <si>
    <t>individualie sporta veidi</t>
  </si>
  <si>
    <t>skrējeju komanda</t>
  </si>
  <si>
    <t>skolēnu izlases</t>
  </si>
  <si>
    <t>sporta seniori</t>
  </si>
  <si>
    <t>distanču slēpošana</t>
  </si>
  <si>
    <t>Kārlis Jēkabs Karlsbergs</t>
  </si>
  <si>
    <t>Adriana Reitmane</t>
  </si>
  <si>
    <t>Lizete Spila</t>
  </si>
  <si>
    <t>Indra Mackeviča</t>
  </si>
  <si>
    <t>Līva Vasioleka</t>
  </si>
  <si>
    <t>Andris Svilāns</t>
  </si>
  <si>
    <t>Elīza Bremze</t>
  </si>
  <si>
    <t>Renārs Grasis</t>
  </si>
  <si>
    <t>Lūkass Siliņš</t>
  </si>
  <si>
    <t>Elīza Odriņa</t>
  </si>
  <si>
    <t>Elma Bremze</t>
  </si>
  <si>
    <t>Bruno Šterns</t>
  </si>
  <si>
    <t>Audris Odo Vītoliņš</t>
  </si>
  <si>
    <t>Georgs Šmalcs</t>
  </si>
  <si>
    <t>skrituļslaloms</t>
  </si>
  <si>
    <t>VF</t>
  </si>
  <si>
    <t>08.1003</t>
  </si>
  <si>
    <t>Klinšu kāpšanas sienas ekspluatācija</t>
  </si>
  <si>
    <t>Biedrība ''Ogres vilki''</t>
  </si>
  <si>
    <t>Biedrība ''Ogres frisbija klubs''</t>
  </si>
  <si>
    <t>Biedrība ''Ogre Juniors''</t>
  </si>
  <si>
    <t>Biedrība ''Ogre United''</t>
  </si>
  <si>
    <t>Biedrība Sporta klubs "Lielvārde"</t>
  </si>
  <si>
    <t>Biedrība ''Bērnu un skolēnu SC Ikšķile''</t>
  </si>
  <si>
    <t xml:space="preserve">Biedrība ''Kambīze'' </t>
  </si>
  <si>
    <t>Biedrības “Ogres karatē un tuvcīņas bērnu klubs ‘’KARATĒ SEN-E’’’’</t>
  </si>
  <si>
    <t>Biedrība ‘’Sporta klubs Ogre’’</t>
  </si>
  <si>
    <t>Biedrība ''Slidotprieks''</t>
  </si>
  <si>
    <t>Biedrība ''Ogre athletics''</t>
  </si>
  <si>
    <t>Biedrība ''Sk Skrējiens''</t>
  </si>
  <si>
    <t>Biedrība ''Svarcelšanas klubs OGRE''</t>
  </si>
  <si>
    <t>Biedrība ''Nesēdi mājās''</t>
  </si>
  <si>
    <t xml:space="preserve">Biedrība ''Green Horse'' </t>
  </si>
  <si>
    <t>Slēpošanas izlase</t>
  </si>
  <si>
    <t>06.4001 Plānotais budžets apgaismošanai</t>
  </si>
  <si>
    <t>06.60003 Plānotais budžets kapu saimniecībai</t>
  </si>
  <si>
    <t>Ogres novada pašvaldības Teritorijas plānojuma izstrādei</t>
  </si>
  <si>
    <t>Apgaismojuma uzturēšanai, remontam</t>
  </si>
  <si>
    <t>09.630</t>
  </si>
  <si>
    <t>Izglītojamo izmitināšanas pakalpoj.</t>
  </si>
  <si>
    <t>09.82032</t>
  </si>
  <si>
    <t>Pārējās izglītības iestāžu pedagogu profesionālās kompetences  pilnveide (Ģimnāzija)</t>
  </si>
  <si>
    <t>09.82081</t>
  </si>
  <si>
    <t>01.1101</t>
  </si>
  <si>
    <t>09.10009</t>
  </si>
  <si>
    <t>Taurenītis</t>
  </si>
  <si>
    <t>09.21905</t>
  </si>
  <si>
    <t>09.21906</t>
  </si>
  <si>
    <t>09.21907</t>
  </si>
  <si>
    <t>09.21908</t>
  </si>
  <si>
    <t>Ķeipenes pamatskola</t>
  </si>
  <si>
    <t>Madlienas vidusskola</t>
  </si>
  <si>
    <t>Taurupes pamatskola</t>
  </si>
  <si>
    <t>09.5106</t>
  </si>
  <si>
    <t>Kārļa Kažociņa Madlienas mūzikas un mākslas skola</t>
  </si>
  <si>
    <t>08.2111</t>
  </si>
  <si>
    <t>08.2112</t>
  </si>
  <si>
    <t>08.2113</t>
  </si>
  <si>
    <t>08.2114</t>
  </si>
  <si>
    <t>08.2115</t>
  </si>
  <si>
    <t>08.2116</t>
  </si>
  <si>
    <t>08.2117</t>
  </si>
  <si>
    <t>Lauberes bibliotēka</t>
  </si>
  <si>
    <t>Ķeipenes bibliotēka</t>
  </si>
  <si>
    <t>Madlienas bibliotēka</t>
  </si>
  <si>
    <t>Krapes bibliotēka</t>
  </si>
  <si>
    <t>Mazozolu bibliotēka</t>
  </si>
  <si>
    <t>Meņģeles bibliotēka</t>
  </si>
  <si>
    <t>Taurupes bibliotēka</t>
  </si>
  <si>
    <t>08.2110</t>
  </si>
  <si>
    <t>Suntažu bibliotēka</t>
  </si>
  <si>
    <t>08.2311</t>
  </si>
  <si>
    <t>08.2312</t>
  </si>
  <si>
    <t>08.2313</t>
  </si>
  <si>
    <t>08.2314</t>
  </si>
  <si>
    <t>08.2315</t>
  </si>
  <si>
    <t>08.2316</t>
  </si>
  <si>
    <t>08.2317</t>
  </si>
  <si>
    <t>08.2318</t>
  </si>
  <si>
    <t>Suntažu kultūras nams</t>
  </si>
  <si>
    <t>Lauberes kultūras nams</t>
  </si>
  <si>
    <t>Ķeipenes tautas nams</t>
  </si>
  <si>
    <t>Madlienas kultūras nams</t>
  </si>
  <si>
    <t>Krapes tautas nams</t>
  </si>
  <si>
    <t>Mazozolu kultūras nams</t>
  </si>
  <si>
    <t>Meņģeles tautas nams</t>
  </si>
  <si>
    <t>Taurupes tautas nams</t>
  </si>
  <si>
    <t>08.2204</t>
  </si>
  <si>
    <t>Sudrabu Edžus memoriālā istaba Meņģelē</t>
  </si>
  <si>
    <t>Suntažu pagasta pārvalde</t>
  </si>
  <si>
    <t>06.600130</t>
  </si>
  <si>
    <t>06.600131</t>
  </si>
  <si>
    <t>06.600132</t>
  </si>
  <si>
    <t>06.600133</t>
  </si>
  <si>
    <t>06.600134</t>
  </si>
  <si>
    <t>06.600135</t>
  </si>
  <si>
    <t>06.600136</t>
  </si>
  <si>
    <t>06.600137</t>
  </si>
  <si>
    <t>Lauberes pagasta pārvalde</t>
  </si>
  <si>
    <t>Ķeipenes pagasta pārvalde</t>
  </si>
  <si>
    <t>Madlienas pagasta pārvalde</t>
  </si>
  <si>
    <t>Krapes pagasta pārvalde</t>
  </si>
  <si>
    <t>Mazozolu pagasta pārvalde</t>
  </si>
  <si>
    <t>Meņģeles pagasta pārvalde</t>
  </si>
  <si>
    <t>Taurupes pagasta pārvalde</t>
  </si>
  <si>
    <t>07.2102</t>
  </si>
  <si>
    <t>09.82086</t>
  </si>
  <si>
    <t>09.82087</t>
  </si>
  <si>
    <t>09.82088</t>
  </si>
  <si>
    <t>Erasmus + programmas projekts Nr.2023-1-LV01-KA121-SCH-000146268 Ogres centra pamakskola , Iekļaušana un iekļaušanās.</t>
  </si>
  <si>
    <t>Erasmus + programmas projekts Nr. 2023-1-LV01-KA121-SCH-000123099, Mācību mobilitātes skolu sektorā Madliena</t>
  </si>
  <si>
    <t>04.510019</t>
  </si>
  <si>
    <t>04.510020</t>
  </si>
  <si>
    <t>04.510021</t>
  </si>
  <si>
    <t>04.510022</t>
  </si>
  <si>
    <t>04.510023</t>
  </si>
  <si>
    <t>04.510024</t>
  </si>
  <si>
    <t>04.510025</t>
  </si>
  <si>
    <t>04.510026</t>
  </si>
  <si>
    <t>Ceļu būvn., uzturēš. un remontiem - Suntaži</t>
  </si>
  <si>
    <t>Ceļu būvn., uzturēš. un remontiem - Laubere</t>
  </si>
  <si>
    <t>Ceļu būvn., uzturēš. un remontiem - Ķeipene</t>
  </si>
  <si>
    <t>Ceļu būvn., uzturēš. un remontiem - Madliena</t>
  </si>
  <si>
    <t>Ceļu būvn., uzturēš. un remontiem - Krape</t>
  </si>
  <si>
    <t>Ceļu būvn., uzturēš. un remontiem - Mazozoli</t>
  </si>
  <si>
    <t>Ceļu būvn., uzturēš. un remontiem - Meņģele</t>
  </si>
  <si>
    <t>Ceļu būvn., uzturēš. un remontiem - Taurupe</t>
  </si>
  <si>
    <t>04.510010</t>
  </si>
  <si>
    <t>Ceļu būvn., uzturēš. un remontiem - Ogre, Ogresgals</t>
  </si>
  <si>
    <t>04.510011</t>
  </si>
  <si>
    <t>Ceļu būvn., uzturēš. un remontiem - Ķegums</t>
  </si>
  <si>
    <t>04.510012</t>
  </si>
  <si>
    <t>Ceļu būvn., uzturēš. un remontiem - Ķegums, Birzgales pag.</t>
  </si>
  <si>
    <t>04.510013</t>
  </si>
  <si>
    <t>Ceļu būvn., uzturēš. un remontiem - Lielvārde</t>
  </si>
  <si>
    <t>04.510014</t>
  </si>
  <si>
    <t>Ceļu būvn., uzturēš. un remontiem - Lielvārde, Lēdmanes pag.</t>
  </si>
  <si>
    <t>04.510015</t>
  </si>
  <si>
    <t>Ceļu būvn., uzturēš. un remontiem - Lielvārde, Jumpravas pag.</t>
  </si>
  <si>
    <t>04.510016</t>
  </si>
  <si>
    <t>Ceļu būvn., uzturēš. un remontiem - Ikšķile</t>
  </si>
  <si>
    <t>04.510017</t>
  </si>
  <si>
    <t>04.510018</t>
  </si>
  <si>
    <t>05.1001</t>
  </si>
  <si>
    <t>Atkritumu apsaimniekošana -  Ogre, Ogresgals (DR)</t>
  </si>
  <si>
    <t>Pielikums</t>
  </si>
  <si>
    <t xml:space="preserve">Ogres novada pašvaldības Autotransports (ceļu būvniecībai un remontiem) izdevumu tāme pēc </t>
  </si>
  <si>
    <t xml:space="preserve">Ogres novada pašvaldības atkritumu apsaimniekošanas darbiem izdevumu tāme pēc </t>
  </si>
  <si>
    <t>05.20021</t>
  </si>
  <si>
    <t>05.20022</t>
  </si>
  <si>
    <t>05.20023</t>
  </si>
  <si>
    <t>05.20024</t>
  </si>
  <si>
    <t>05.20025</t>
  </si>
  <si>
    <t>05.20026</t>
  </si>
  <si>
    <t>Notekūdeņu apsaimniekošana - Laubere</t>
  </si>
  <si>
    <t>Notekūdeņu apsaimniekošana - Ķeipene</t>
  </si>
  <si>
    <t>Notekūdeņu apsaimniekošana - Madliena</t>
  </si>
  <si>
    <t>Notekūdeņu apsaimniekošana - Krape</t>
  </si>
  <si>
    <t>Notekūdeņu apsaimniekošana - Mazozoli</t>
  </si>
  <si>
    <t>Notekūdeņu apsaimniekošana - Taurupe</t>
  </si>
  <si>
    <t xml:space="preserve">Ogres novada pašvaldības teritoriju notekūdeņu apsaimniekošanas  darbiem paredzēti līdzekļi izdevumu tāme pēc </t>
  </si>
  <si>
    <t>Notekūdeņu apsaimniekošana - Ogre, Ogresgals</t>
  </si>
  <si>
    <t>05.2001</t>
  </si>
  <si>
    <t>06.30011</t>
  </si>
  <si>
    <t>06.30012</t>
  </si>
  <si>
    <t>06.30013</t>
  </si>
  <si>
    <t>06.30014</t>
  </si>
  <si>
    <t>06.30015</t>
  </si>
  <si>
    <t>06.30016</t>
  </si>
  <si>
    <t>Ūdensapgāde - Laubere</t>
  </si>
  <si>
    <t>Ūdensapgāde - Ķeipene</t>
  </si>
  <si>
    <t>Ūdensapgāde - Madliena</t>
  </si>
  <si>
    <t>Ūdensapgāde - Krape</t>
  </si>
  <si>
    <t>Ūdensapgāde - Mazozoli</t>
  </si>
  <si>
    <t>Ūdensapgāde - Meņģele</t>
  </si>
  <si>
    <t>Ūdensapgāde - Taurupe</t>
  </si>
  <si>
    <t>Pielikums Pielikumam Nr. 2</t>
  </si>
  <si>
    <t>Pielikums Ogrei un Ogresgalam</t>
  </si>
  <si>
    <t>06.30017</t>
  </si>
  <si>
    <t>Notekūdeņu apsaimniekošana - Meņģele</t>
  </si>
  <si>
    <t>05.20027</t>
  </si>
  <si>
    <t>Ziemassvētku paciņas Ogres neredzīgo biedrības biedrierm</t>
  </si>
  <si>
    <t>dalības maksa, org</t>
  </si>
  <si>
    <t>licences, dalības m</t>
  </si>
  <si>
    <t>transports</t>
  </si>
  <si>
    <t>dotācija</t>
  </si>
  <si>
    <t xml:space="preserve">Biedrība ''Sporta klubs Rembate'' </t>
  </si>
  <si>
    <t>Miks Jānis Opolais</t>
  </si>
  <si>
    <t>Sandija Reitmane</t>
  </si>
  <si>
    <t>Ralfs Dzosens</t>
  </si>
  <si>
    <t>Emīls Matiass Reinfelds</t>
  </si>
  <si>
    <t>Gustavs Millers</t>
  </si>
  <si>
    <t>Elīza Eisaka</t>
  </si>
  <si>
    <t>Andris Sarksņa</t>
  </si>
  <si>
    <t>Pašvaldības ielu apgaismojuma  iekārtu uzturēšanai vēsturiskos pagastos</t>
  </si>
  <si>
    <t>09.82090</t>
  </si>
  <si>
    <t>Erasmus projekts Ilgtspējīga vides izglītība, integrējot filozofijas bērniem pieeju STEAM mācību priekšmetos, Nr.2023-1-PL01-KA220-SCH-000157049 (OCP)</t>
  </si>
  <si>
    <t>Līdzfinansējums sabiedriskā transporta pakalpojumu sniegšanai Ogres novadā</t>
  </si>
  <si>
    <t>09.82091</t>
  </si>
  <si>
    <t>Projektu konkurss ''Papildus aktivitātes Ogres novada pašvaldības iestādēs''.</t>
  </si>
  <si>
    <t>Peldošo platformu un tilta Krasta ielā ekspluatācija</t>
  </si>
  <si>
    <t>Sanatorijas Gaismas pr.2/6, Ogrē uzraudzības izmaksas</t>
  </si>
  <si>
    <t>Finasējums  remontam</t>
  </si>
  <si>
    <t>Pašvaldības ielu apgaismojuma,  iekārtu uzturēšanai Lielvārdē un pagastos</t>
  </si>
  <si>
    <t>Pašvaldības ielu apgaismojuma,  iekārtu uzturēšanai Ķegumā un pagastos</t>
  </si>
  <si>
    <t>Ielu apgaismojuma remontiem</t>
  </si>
  <si>
    <t>Elektrības patēriņam Ogre, Ogresgals</t>
  </si>
  <si>
    <t>Pašvaldības ielu apgaismojuma  iekārtu uzturēšanai un atbildīgais par iestāžu elektrosaimniecību Ogre, Ogresgals</t>
  </si>
  <si>
    <t>06.60047</t>
  </si>
  <si>
    <t>Rotaļu laukumu izveidošanai lauku teritorijās</t>
  </si>
  <si>
    <t>09.6202</t>
  </si>
  <si>
    <t>Katrīna Bulkovska</t>
  </si>
  <si>
    <t>golfs</t>
  </si>
  <si>
    <t>Pinkas Krape gruntūdeņu analīzes</t>
  </si>
  <si>
    <t>Ceļu, trotuāru, stāvlaukumu un veloceliņu remontiem un uzturēšamai</t>
  </si>
  <si>
    <t>Tai skaitā Mērķdotācija VF</t>
  </si>
  <si>
    <t>LIAA telpu nomas līdzfinansēšana (Inkubators)</t>
  </si>
  <si>
    <t>05.4001</t>
  </si>
  <si>
    <t xml:space="preserve">Bioloģiskās daudzveidības un ainavas aizsardzībai paredzēti līdzekļi no DR nod. </t>
  </si>
  <si>
    <t>Ziemassvētku dāvanas sabiedriskajām organizācijām</t>
  </si>
  <si>
    <t>08.2319</t>
  </si>
  <si>
    <t>08.2401</t>
  </si>
  <si>
    <t>Ogres teātris</t>
  </si>
  <si>
    <t>Finansējums pašvaldības iestāžu un sabiedrisko organizāciju telpu uzturēšanas izdevumu segšanai</t>
  </si>
  <si>
    <t>NOAH virtuālā servera uzturēšana (jaunu ierīču datu pievienošana)</t>
  </si>
  <si>
    <t>09.82069</t>
  </si>
  <si>
    <t>09.82070</t>
  </si>
  <si>
    <t>Ģimenes ārsta prakse Lielvārdē</t>
  </si>
  <si>
    <t>09.82015</t>
  </si>
  <si>
    <t>Nordplus Junior projekts Nr.NPJR-2024/10083  Jumpravas pamatsk.</t>
  </si>
  <si>
    <t>09.82020</t>
  </si>
  <si>
    <t>ES fonda Plus projekts PROTI un DARI 2.0, Nr.4.2.3.4/1/24/I/001</t>
  </si>
  <si>
    <t>Ķeipenes kinostacija</t>
  </si>
  <si>
    <t>Ogres Kalna pamatsk.</t>
  </si>
  <si>
    <t>Jaunogres pamatsk.</t>
  </si>
  <si>
    <t>Suntažu pamatskola</t>
  </si>
  <si>
    <t>Ogres novada Kultūras un tūrisma pārvalde</t>
  </si>
  <si>
    <t>09.82092</t>
  </si>
  <si>
    <t>09.82014</t>
  </si>
  <si>
    <t>09.82076</t>
  </si>
  <si>
    <t>Erasmus programmas projekts Nr.2024-1-LV01-KA121-SCH-000230475, (Kalna psk.)</t>
  </si>
  <si>
    <t>2025.g. Plāns</t>
  </si>
  <si>
    <t>Elektroenerģijas iepirkuma eksperta pakalpojums 4x2200 EUR</t>
  </si>
  <si>
    <t>Mežu inventarizācija</t>
  </si>
  <si>
    <t>"Kalnabiķi", Tomes pag., Ogres nov., nepieciešams sabiedrības vajadzībām</t>
  </si>
  <si>
    <t>Degvielas iegādei, ūdens bioloģisko resursu apsekošana</t>
  </si>
  <si>
    <t>Apstādījumu rekonstrukcijas</t>
  </si>
  <si>
    <t>Ogres pilsētas mobilitātes plāna izstrāde</t>
  </si>
  <si>
    <t>Pašvaldības ēku tehniskā apsekošana</t>
  </si>
  <si>
    <t>Zemes vienību atsavināšana sabiedrības vajadzībām</t>
  </si>
  <si>
    <t>Nekustamā īpašuma atsavināšana sabiedrības vajadzībām - autotransporta tuneļa (pārvada) būvniecībai Upes prosp. 9, Ogrē</t>
  </si>
  <si>
    <t>Ūdensanalīžu veikšanai novadā (Bior)</t>
  </si>
  <si>
    <t>Zivju resursu Ogres novada publiskajos ūdeņos uzraudzībai</t>
  </si>
  <si>
    <t>08.23061</t>
  </si>
  <si>
    <t>08.23062</t>
  </si>
  <si>
    <t>08.23063</t>
  </si>
  <si>
    <t>Lēdmanes tautas nams</t>
  </si>
  <si>
    <t>09.82056</t>
  </si>
  <si>
    <t>09.82078</t>
  </si>
  <si>
    <t>09.82021</t>
  </si>
  <si>
    <t>(pašv.līdzf.) Dotācija no visp. ieņēm.</t>
  </si>
  <si>
    <t>Dotācija no Valsts budžeta</t>
  </si>
  <si>
    <t>ES Ārvalstu finanšu palīdzība</t>
  </si>
  <si>
    <r>
      <t>Ogres novada pašvaldības</t>
    </r>
    <r>
      <rPr>
        <b/>
        <sz val="12"/>
        <rFont val="Times New Roman"/>
        <family val="1"/>
        <charset val="186"/>
      </rPr>
      <t xml:space="preserve"> Projektu</t>
    </r>
    <r>
      <rPr>
        <b/>
        <sz val="10"/>
        <rFont val="Times New Roman"/>
        <family val="1"/>
        <charset val="186"/>
      </rPr>
      <t xml:space="preserve"> ieņēmumu un izdevumu tāmes pēc </t>
    </r>
  </si>
  <si>
    <t>Pārējie soc.maksājumi</t>
  </si>
  <si>
    <t>ES Starptautiskā sadarbība</t>
  </si>
  <si>
    <t>09.82023</t>
  </si>
  <si>
    <t>09.82093</t>
  </si>
  <si>
    <t>Jura Alunāna un Akmeņu ielu pārbūve posmā no Daugavpils ielas (A6) līdz Vidzemes ielai, Ogrē uzņēmējdarbības veicināšanai, Nr. 5.1.1.1/2/24/A/016</t>
  </si>
  <si>
    <t>Jaunas vispārējās pirmsskolas izglītības iestādes būvniecība Ogres pilsētā, Nr. 4.2.1.7/1/23/A/007</t>
  </si>
  <si>
    <t>Ogres novada izglītības iestažu infrastruktūras pilnveide un aprīkošana, Nr. 3.1.1.5.i.0/1/24/I/CFLA/003</t>
  </si>
  <si>
    <t>Speciālās izglītības iestādes attīstība Ogres novadā efektīvas, kvalitatīvas un mūsdienīgas izglītības īstenošanai, Nr. Nr.4.2.1.3/1/24/I/011</t>
  </si>
  <si>
    <t>07.4503</t>
  </si>
  <si>
    <t>09.82007</t>
  </si>
  <si>
    <t>05.30011</t>
  </si>
  <si>
    <t>05.2004</t>
  </si>
  <si>
    <t>04.51002</t>
  </si>
  <si>
    <t>Mikromobilitātes infrastruktūras uzlabošana Ogres pilsētā</t>
  </si>
  <si>
    <t>04.51005</t>
  </si>
  <si>
    <t>Mērķdotācijas pedagogu darba samaksai</t>
  </si>
  <si>
    <t>Summa (EUR) kopā:</t>
  </si>
  <si>
    <t xml:space="preserve">Reprezentācijas materiālu iegāde pašvaldības vajadzībām </t>
  </si>
  <si>
    <t>Sabiedrisko pasākumu organizēšanai</t>
  </si>
  <si>
    <t>06.60014</t>
  </si>
  <si>
    <t>Līdzdalības budžets</t>
  </si>
  <si>
    <t>Mērķdotācijas interešu izglītībai (EKK 3200)</t>
  </si>
  <si>
    <t>Biedrība ''A.T.hokeja klubs''</t>
  </si>
  <si>
    <t>Biedrība ''Archery 4 All Suntaži''</t>
  </si>
  <si>
    <t>loka šaušana</t>
  </si>
  <si>
    <t>powerliftings</t>
  </si>
  <si>
    <t>Anna Dreismane</t>
  </si>
  <si>
    <t>Ieva Kauliņa</t>
  </si>
  <si>
    <t>Justīne Vanaga</t>
  </si>
  <si>
    <t>Samanta Magdalēna Pētersone</t>
  </si>
  <si>
    <t>Evelīna Ķēniņa</t>
  </si>
  <si>
    <t>Alvis Pivors</t>
  </si>
  <si>
    <t>velosports/MTB</t>
  </si>
  <si>
    <t>Artūrs Jānis Krastiņš</t>
  </si>
  <si>
    <t>Marta Runiškova</t>
  </si>
  <si>
    <t>Jānis Juhnēvičs</t>
  </si>
  <si>
    <t>parasports</t>
  </si>
  <si>
    <t xml:space="preserve">Sabiedriskās organizācijas </t>
  </si>
  <si>
    <t>09.62045</t>
  </si>
  <si>
    <t>06.60009</t>
  </si>
  <si>
    <t>Nevalstisko organizāciju projektu atbalstam</t>
  </si>
  <si>
    <t xml:space="preserve">Skolēnu vasaras darbs </t>
  </si>
  <si>
    <t>10.70009</t>
  </si>
  <si>
    <t>ES projekts  “Pasākumi veselības veicināšanai un slimību profilaksei Ogres novada iedzīvotājiem”  Nr. 4.1.2.2/1/24/I/022</t>
  </si>
  <si>
    <t>Finansējums Mājokļa ārējās vides pielāgošanai personām ar kustību traucējumiem</t>
  </si>
  <si>
    <t>Tūrisma informācijas centrs</t>
  </si>
  <si>
    <t>Zivju fonda projekta atbalstam</t>
  </si>
  <si>
    <t>Elektroniskie sabiedrības saziņas līdzekļi (televīzija un radio)</t>
  </si>
  <si>
    <t>Pārējie citur neklasif. soc. aizsardzības pasākumi (Ukrainas civiliedzīvotāju atbalstam)</t>
  </si>
  <si>
    <t>06.60007 Plānotais budžets Īpašumu uzmērīšanai un reģistrēšanai Zemesgrāmatā</t>
  </si>
  <si>
    <t>Īpašumu uzmērīšanai un reģistrēšanai Zemesgrāmatā</t>
  </si>
  <si>
    <t>Nodokļi un nodevas par reģistrēšanu</t>
  </si>
  <si>
    <t>06.4002 Plānotais budžets apgaismošanai Ikšķiles pilsētas un Tīnūžu pagasta pārvalde</t>
  </si>
  <si>
    <t>06.60008 Plānotais budžets pārējiem izdevumiem</t>
  </si>
  <si>
    <t xml:space="preserve">Nodokļi un nodevas </t>
  </si>
  <si>
    <t>Izglītojamo pārvadājumu pakalpojumi</t>
  </si>
  <si>
    <t>Ēdināšanas izmaksu kompensācijas PII</t>
  </si>
  <si>
    <t>Ēdināšanas izmaksu kompensācijas skolās</t>
  </si>
  <si>
    <t>Ukraiņu bērnu ēdināšana skolās 1-4. klase VF</t>
  </si>
  <si>
    <t>Haralds Ermuiža</t>
  </si>
  <si>
    <t>Jumpravas pagasta Kultūras nams</t>
  </si>
  <si>
    <t>08.29034</t>
  </si>
  <si>
    <t>09.82005</t>
  </si>
  <si>
    <t>Erasmus programmas projekts 2025-1-LV01-KA121-SCH-000338632 Ogres kalna pamatskola</t>
  </si>
  <si>
    <t>09.82012</t>
  </si>
  <si>
    <t>Nordplus Junior projekts Nr.NPJR-2025/10136  "Teaching scientific inquiry in natural sciences" Jumpravas pamatskola</t>
  </si>
  <si>
    <t>09.82013</t>
  </si>
  <si>
    <t>Erasmus + programmas projekts Nr.2025-1-LV01-KA121-SCH-000326941 Ogres valsts ģimnāzija</t>
  </si>
  <si>
    <t>ES fonds Plus projekts Nr.4.2.2.3/1/24/I/001 "Pedagogu profesionālā atbalsta sistēmas izveide" (ONIP)</t>
  </si>
  <si>
    <t>Ķeguma pamatskola</t>
  </si>
  <si>
    <t>Interešu izglītības iestāde</t>
  </si>
  <si>
    <t>09.5112</t>
  </si>
  <si>
    <t>04.11106</t>
  </si>
  <si>
    <t>ES atveseļošanās fonda projekts Nr.2.1.2.1.i.0/2/24/I/CFLA/003, "Atvieglojumu pārvaldības pakalpojuma pilnveide un ieviešanas atbalsts"</t>
  </si>
  <si>
    <t>Ceļu būvn., uzturēš. un remontiem - Ķegums, Tome</t>
  </si>
  <si>
    <t>Pārējie maksājumi ieddzīvotājiem</t>
  </si>
  <si>
    <t>09.82017</t>
  </si>
  <si>
    <t>Erasmus + programmas projekts Nr.2025-1-LV01-KA122-SCH-000326778, Par zaļāku pasauli mūsu bērniem. (Ķeipenes pamatsk.)</t>
  </si>
  <si>
    <t>09.82028</t>
  </si>
  <si>
    <t>09.82025</t>
  </si>
  <si>
    <t>Erasmus + programmas projekts "Jumpravas jauniešu līdzdalības kompass" 2025-1-LV02-KA154-YOU-000303442  ONIP</t>
  </si>
  <si>
    <t>Projekts "Ogres novada skolu pašpārvalžu stiprināšana" Nr.VP2025/3-12 (ONIP)</t>
  </si>
  <si>
    <t>09.82054</t>
  </si>
  <si>
    <t>Erasmus programmas projekts Nr.2025-1-LV01-KA121-SCH-000342761 Mācību mobilitāte skolu sektorā (Madlienas VSK.)</t>
  </si>
  <si>
    <t>09.82050</t>
  </si>
  <si>
    <t>Erasmus programmas projekts Nr. 2025-1-LT01-KA210-SCH-000352453 Ikšķiles Mūzikas skolas projekts</t>
  </si>
  <si>
    <t>09.82057</t>
  </si>
  <si>
    <t>Erasmus + programmas projekts 2025-1-LV01-KA122-SCH-000343554 — Piedzīvot, izprast, pārveidot OCP</t>
  </si>
  <si>
    <t>09.82096</t>
  </si>
  <si>
    <t>Erasmus projekts Nr.2025-1-LV02-KA152-YOU-000302641, Harmny of the Body (ONIP)</t>
  </si>
  <si>
    <t>09.82097</t>
  </si>
  <si>
    <t>Video satura veidošana par Ogres novada kultūrvēsturisko mantojumu un infrastruktūras projektiem</t>
  </si>
  <si>
    <t>ekonomiskās klasifikācijas kodiem 2026. gadam</t>
  </si>
  <si>
    <t>Mērķdotācijas 5-6 gadīgo apmācībai 8 mēn.</t>
  </si>
  <si>
    <t xml:space="preserve"> Plāns</t>
  </si>
  <si>
    <t>pakalpojumi (EKK 2235)</t>
  </si>
  <si>
    <t>tāme pēc ekonomiskās klasifikācijas kodiem 2026. gadam</t>
  </si>
  <si>
    <t>2026.g. budžets</t>
  </si>
  <si>
    <t xml:space="preserve">2026.g. budžets </t>
  </si>
  <si>
    <t xml:space="preserve">05.2001  2026. gada budžetā notekūdeņu apsaimniekošanas  darbiem paredzēti līdzekļi no DR nod. </t>
  </si>
  <si>
    <t>2026.g. budžets Ogre</t>
  </si>
  <si>
    <t xml:space="preserve">05.4001   2026. gada budžetā bioloģiskās daudzveidības un ainavas aizsardzībai paredzēti līdzekļi no DR nod. </t>
  </si>
  <si>
    <t>2026. g. Izmaksas (EUR)</t>
  </si>
  <si>
    <t>2026. g. Izmaksas (EUR) Ogre</t>
  </si>
  <si>
    <t>Par finansiālo atbalstu Ogres novada sporta klubiem 2026. gadam.</t>
  </si>
  <si>
    <t>2026.gads</t>
  </si>
  <si>
    <t>ekonomiskās klasifikācijas kodiem 2026.gadam</t>
  </si>
  <si>
    <t xml:space="preserve">Ogres novada pašvaldības Projektu ieņēmumu un izdevumu tāmes </t>
  </si>
  <si>
    <t xml:space="preserve"> pēc ekonomiskās klasifikācijas kodiem 2026.gadam</t>
  </si>
  <si>
    <t>Ogres novada pašvaldības deleģēto funkciju izpildes plāns 2026.gadā SIA Ogres namsaimnieks</t>
  </si>
  <si>
    <t xml:space="preserve">Plānots </t>
  </si>
  <si>
    <t>Ogres novada pašvaldības deleģēto funkciju izpildes plāns 2026.gadā PA Ogres komunikācijas</t>
  </si>
  <si>
    <t>Ezeru tīrīšana</t>
  </si>
  <si>
    <t>Tīnūžu pagasts Tauriņu mežš,  nepieciešamība sabiedrības vajadzībām</t>
  </si>
  <si>
    <t>Brīvības iela 18, Ogre (Zelta liepa) un Rīgas iela 15 (Tautas nams) apdrošināšanas izmaksām</t>
  </si>
  <si>
    <t>Pašvaldību ēku energosertifikāti</t>
  </si>
  <si>
    <t>Rotaļu laukumam Ogresgalā, nožogojums</t>
  </si>
  <si>
    <t>Remonta darbi neparedzēti Ogresgalā</t>
  </si>
  <si>
    <t>Gājēju laipas projektēšana pāri Rankas upei</t>
  </si>
  <si>
    <t>06.60016</t>
  </si>
  <si>
    <t>06.60015</t>
  </si>
  <si>
    <t>08.29006</t>
  </si>
  <si>
    <t>Kultūras aktivitātes/pasākumi Kultūras un tūrisma pārvalde</t>
  </si>
  <si>
    <t>Kultūras aktivitātes/pasākumi Komunikācijas nod.</t>
  </si>
  <si>
    <t>Kultūras aktivitātes Kultūras un tūrisma pārvalde   08.29001</t>
  </si>
  <si>
    <t>Kultūras aktivitātes Komunikācijas nodaļa   08.29006</t>
  </si>
  <si>
    <t>Līdzfinansējums Olekeja Anuļas grāmatu "Jingle Bellz" autoratlīdzībai un izdošanai</t>
  </si>
  <si>
    <t>Reprezentācijas video veidošana par Ogres novadu</t>
  </si>
  <si>
    <t>Sabiedrisko pasākumu organizēšanai transporta pakalpojumi</t>
  </si>
  <si>
    <t>Polimēra betona podi</t>
  </si>
  <si>
    <t>Augu kūdra, mulča.</t>
  </si>
  <si>
    <t>koku iegāde</t>
  </si>
  <si>
    <t>08.1002</t>
  </si>
  <si>
    <t xml:space="preserve">Komandas vai individuāli sac. Dalībnieku atbalstam </t>
  </si>
  <si>
    <t>2026.g. Plāns</t>
  </si>
  <si>
    <t>Madlienas vidusskolas būvprojekta izstrāde un autoruzraudzība</t>
  </si>
  <si>
    <t>Iegrimes mērījumi un laivu ceļa izstrāde Rīgas HES ūdenskrātuvē</t>
  </si>
  <si>
    <t>Ceļa pārvads no Kalna sk. uz Ogres MM un no Ogres MM uz Bibliotēku (koka) būvprojekts Metu konkurss</t>
  </si>
  <si>
    <t>Dambja ielas mola jeb pussalas un ūdens transporta novietņu  metu konkurss</t>
  </si>
  <si>
    <t>Edgara Kauliņa Lielvārdes vidusskolas inventarizācijas lietas izstrāde</t>
  </si>
  <si>
    <t>Suntažu pamatskolas inventarizācijas lietas izstrāde</t>
  </si>
  <si>
    <t>Ķeguma pamatskolas inventarizācijas lietas izstrāde</t>
  </si>
  <si>
    <t xml:space="preserve">Ogres novada pašvaldības Teritorijas plānojuma vides pārskata  izstrādei </t>
  </si>
  <si>
    <t>Lielvārdes velotrases pump-truck projektēšana</t>
  </si>
  <si>
    <t>Mežmalas ielas Ogrē būvniecības dokumentācijas izstrāde + autoruzraudzība</t>
  </si>
  <si>
    <t>Gājēju/veloceļa no Skolas ielas līdz Raiņa ielai (gar sliedēm) + būvprojekta izstrāde ar autoruzraudzību</t>
  </si>
  <si>
    <t>Būvprojekta izstrāde auto stāvlaukumam Skolas ielā 10, Ogrē + autoruzraudzība</t>
  </si>
  <si>
    <t>Esošo afišu stabu vides pieejamība un iekšējo stiklu uzlabošana</t>
  </si>
  <si>
    <t>Dzelzceļa gājēju tuneļa liftu būvniecība Brīvības ielā Ogrē</t>
  </si>
  <si>
    <t>Teritorijas pie E.Kauliņa pieminekļa Lielvārdē apstādījumu rekonstrukciju</t>
  </si>
  <si>
    <t xml:space="preserve">Ielu apgaismojuma izbūve Kanlāju ciemata (Bērzu ielas posms no Bērzu ielas  1 - Bērzu ielai 7) </t>
  </si>
  <si>
    <t>Atbalsts senioram 100 un vairāk gadu jubilejā  Ogres novadā deklarētām personām</t>
  </si>
  <si>
    <t>Atbalsts nozīmīgā laulības jubilejā - Zelta un dimanta kāzu jubilāru pasākumu organizēšana un naudas balvas</t>
  </si>
  <si>
    <t>Atbalsts mātes dienā  - represētajām personām (Ziedi un dāvanas mātēm)</t>
  </si>
  <si>
    <t xml:space="preserve"> Atbalsts Starptautiskā invalīdu dienā, invalīdu biedrību grupu brīvprātīgiem vadītājiem</t>
  </si>
  <si>
    <t xml:space="preserve">Atbalsts Starptautiskā senioru dienā aktīvajiem pensionāru biedrību grupu brīvprātīgajiem vadītājiem </t>
  </si>
  <si>
    <t>Pasākums par godu Starptautiskajai senioru dienai un Starptautiskajai invalīdu dienai</t>
  </si>
  <si>
    <t>Atbalsts Černobiļas AES avārijas seku likvidēšanas dalībniekiem un Černobiļas AES avārijas rezultātā cietuši persona</t>
  </si>
  <si>
    <t xml:space="preserve">Atbalsts Ziemassvētkos </t>
  </si>
  <si>
    <t>Atbalsts Latvijas Republikas Proklamēšanas dienā (Godināšanas pasākums Ogres novada GODA pilsonis un GADA cilvēks)</t>
  </si>
  <si>
    <t xml:space="preserve">Apbalvojumu komisijas darba nodrošinājumam (Apbalvojumu raksti,  apbalvojumiem mapes, ziedi, rāmīši, kārtidžs printerim, reprezentācijas suvenīri u.c.) </t>
  </si>
  <si>
    <t>Atbalsts kultūras pasākumiem</t>
  </si>
  <si>
    <t>Ceļa malu zāles pļaušana Ogresgala pagastā</t>
  </si>
  <si>
    <t>Apauguma norakšana no grants ielu nomalēm</t>
  </si>
  <si>
    <t>Būvprojekta izstrāde Daugavgrīvas ielai, Ķegumā ,autoruzraudzība</t>
  </si>
  <si>
    <t>Ogres pilsētas kabeļa pārcelšana pirms darbiem Mālkalnes 10 b/d būvniec.</t>
  </si>
  <si>
    <t>Pašvaldības  elektro  iekārtu uzturēšanai un atbildīgais par iestāžu elektrosaimniecību Ikšķile  un Tīnūžu pagasts.</t>
  </si>
  <si>
    <t>Ielu apgaismojuma izbūves darbi Ikšķiles pils. Un Tīnūžu pag. 3 ielām</t>
  </si>
  <si>
    <t>Ielu apgaismojuma projektēšana Lielvārdē Lāčplēša, Gaismas, Smilgu, Mēness, Rožu, Cīruļu, Ausekļa un Ošu ielu posmos, paralēli Sad.tīklu 0,4 kV GVL rekonstrukcijas projektam.</t>
  </si>
  <si>
    <t>Ielu apgaismojuma projektēšana un autoruzraudzība Lielvārdē, Rembates, Miera, Meža, Pļavu, Lauku, Putnu, Andreja Pumpura, Roberta Rubeņa, Stacijas, Nākotnes, Ziedu, Vidus, Liepu, Draudzības un Ķiršu ielās paralēli Sadales tīkla projektam IO-287765, TA-10198.
Projektā jāizmanto Sadales Tīkla topogrāfijas un ielu komunikāciju datu bāze.</t>
  </si>
  <si>
    <t>Pārējie izdevumi, zemes nomas</t>
  </si>
  <si>
    <t>Ogres novada pašvaldības 2026.gada sporta komandu/klubu budžets. 08.1002</t>
  </si>
  <si>
    <t>sporta tērpi</t>
  </si>
  <si>
    <t>vindsērfings</t>
  </si>
  <si>
    <t xml:space="preserve"> BDR “Esi aktīvs, radošs un izzinošs!”</t>
  </si>
  <si>
    <t>volejbols</t>
  </si>
  <si>
    <t>Biedrība ''Sporta un kultūras telpa Ķirzaka''</t>
  </si>
  <si>
    <t>orientēšanās sports</t>
  </si>
  <si>
    <t>daiļslidošana</t>
  </si>
  <si>
    <t>velo sports</t>
  </si>
  <si>
    <t>Latvijas Jaunatnes Olimpiāde 18.-20.06.2026.</t>
  </si>
  <si>
    <t>Šaušanas komanda</t>
  </si>
  <si>
    <t>šaušana</t>
  </si>
  <si>
    <t>Viktorija Vegnere</t>
  </si>
  <si>
    <t>Viktorija Dimza</t>
  </si>
  <si>
    <t>U19</t>
  </si>
  <si>
    <t>Aleksandra Rozmarija Zandberga</t>
  </si>
  <si>
    <t>Kārlis Ridzinskis</t>
  </si>
  <si>
    <t>U23</t>
  </si>
  <si>
    <t>Juris Kaldovskis</t>
  </si>
  <si>
    <t>Daņila Runiškovs</t>
  </si>
  <si>
    <t>Marta -Naula Matvejāne</t>
  </si>
  <si>
    <t>Dārta Brēķe</t>
  </si>
  <si>
    <t>joga</t>
  </si>
  <si>
    <t>U22</t>
  </si>
  <si>
    <t>Eduards Dūdens</t>
  </si>
  <si>
    <t>Ikgadējais Ogres novada Uzņēmēju forums (aprīlis)</t>
  </si>
  <si>
    <t>Ogres novada uzņēmēju popularizēšana, sekmējot to saimniecisko darbību Ogres novadā - pasākums "Ogres novada iedzīvotāju rallijs pie novada uzņēmējiem" (administratīvie izdevumi (augusts))</t>
  </si>
  <si>
    <t>Ogres novada pašvaldības atbalsta pasākums "Grants novada uzņēmējiem stenda izveidei izstādēs"</t>
  </si>
  <si>
    <t>Ogres novada pašvaldības pasākums Vidzemes Inovāciju nedēļas ietvaros (23-29 feb)</t>
  </si>
  <si>
    <t>Ogres novada pašvaldības sociālās uzņēmējdarbības granta konkurss, sociālās uzņēmējdarbības attīstīšanai un cilvēku ar īpašām vajadzībām nodarbināšanas veicināšanai.</t>
  </si>
  <si>
    <t>Gada balva uzņēmējiem</t>
  </si>
  <si>
    <t>08.2208</t>
  </si>
  <si>
    <t>08.2209</t>
  </si>
  <si>
    <t>Autoceļa Nr.8013 Zeltiņi - Priednieki Ogresgalā, Ogres novadā seguma atjaunošana un projektēšana</t>
  </si>
  <si>
    <t>Veloceļa izbūve posmā no Ciemupes līdz Lielvārdei, Ogres novadā novadmeliorācijas risinājumi</t>
  </si>
  <si>
    <t>Būvprojekta izstrāde auto stāvlaukumam Komunālajā ielā 6, Ķegumā,autoruzraudzība, būvniecība</t>
  </si>
  <si>
    <t>Mednieku ielas posma pārbūve no Mežezera ielas līdz Ogres meža tehnikumam, būvuzraudzība, projektēšana</t>
  </si>
  <si>
    <t>Lāčplēša iela Ķegumā, būvniecība, projktēšana</t>
  </si>
  <si>
    <t>Rembates un Meža ielas Lielvārdē garantijas saistības</t>
  </si>
  <si>
    <t>Lielvārdes parks (prioritārais projekts) (1.kārta)</t>
  </si>
  <si>
    <t>ERAF "Lielvārdes pilsdrupu konservācija un jaunu pakalpojumu attīstība" (Lielvārdes parka un apkaimes labiekārtošana 2.kārta)</t>
  </si>
  <si>
    <t>Objektu (patvertņu) pielāgošana un aprīkošana civilās aizsardzības mērķiem Ogres novadā</t>
  </si>
  <si>
    <t>03.2002</t>
  </si>
  <si>
    <t>06.60048</t>
  </si>
  <si>
    <t>09.82018</t>
  </si>
  <si>
    <t>Lietus ūdens kanalizācijas sūkņu stacijas Doles ielā 1b, Ogrē sakārtošana</t>
  </si>
  <si>
    <t>Sabojāto ūdens dzeršanas vietu remonts</t>
  </si>
  <si>
    <t>A.Pumpura Lielvārdes muzejam izstādes digitalizācija</t>
  </si>
  <si>
    <t>ES fonda projekts Nr.2.1.3.1/1/24/A/014 Ilgtspējīgi risinājumi (lietus ūdens novade no futbola laukuma) Meža pr. 14, Ogrē</t>
  </si>
  <si>
    <t>Nordplus Junior projekts Nr.NPJR-2025-Autumn/10053, Bērnudārzu un bibloitēkas sadarbības jomā (Jumpravas pamatskola)</t>
  </si>
  <si>
    <t>ES fonda projekts  Nr. 4.2.2.1/1/25/I/001, "STEM un pilsoniskās līdzdalības norises plašākai izglītības pieredzei un karjeras izvēlei"(ONIP)</t>
  </si>
  <si>
    <t>Eiropas Savienības Atveseļošanas fonda projekta Nr. 2.3.2.1.i.0/1/23/I/CFLA/001 “Sabiedrības digitālo prasmju attīstība” (ONIP)</t>
  </si>
  <si>
    <t>Erasmus programmas projekts Nr.2023-1-LV01-KA121-SCH 000147014 Personu mobilitātes mācību nolūkos.(Ogres kalna sk.)</t>
  </si>
  <si>
    <t>Erasmus projekta Nr.2024-1-LV01-KA121-SCH-000209588.(Madlienas sk.)</t>
  </si>
  <si>
    <t>Nordplus projekts NPJR-2024/10161-Thinking about our common future  (Madlienas sk.)</t>
  </si>
  <si>
    <t>Eiropas Savienības Atveseļošanas fonda projekta Nr. 2.3.2.1.i.0/1/23/I/CFLA/002 “Digitālā darba ar jaunatni sistēmas attīstība pašvaldībās” ONIP</t>
  </si>
  <si>
    <r>
      <t>06.600121</t>
    </r>
    <r>
      <rPr>
        <sz val="14"/>
        <color indexed="10"/>
        <rFont val="Times New Roman"/>
        <family val="1"/>
        <charset val="186"/>
      </rPr>
      <t xml:space="preserve"> </t>
    </r>
    <r>
      <rPr>
        <sz val="14"/>
        <rFont val="Times New Roman"/>
        <family val="1"/>
        <charset val="186"/>
      </rPr>
      <t xml:space="preserve">  Pašvaldības teritoriju labiekārtošanai paredzēti līdzekļi</t>
    </r>
  </si>
  <si>
    <r>
      <rPr>
        <sz val="12"/>
        <rFont val="Times New Roman"/>
        <family val="1"/>
      </rPr>
      <t xml:space="preserve">Remigrācijas veicināšanas pasākumu cikls "Ogres novads - vieta, kur atgriezties </t>
    </r>
    <r>
      <rPr>
        <b/>
        <sz val="12"/>
        <rFont val="Times New Roman"/>
        <family val="1"/>
      </rPr>
      <t xml:space="preserve">  </t>
    </r>
  </si>
  <si>
    <t xml:space="preserve">Sociālā dzīvojamā fonda attīstībai </t>
  </si>
  <si>
    <t>“Mobilitātes un sabiedriskā transporta savienojumu punktu attīstība Upes prospektā 15A, Ogrē, Ogres novadā būvprojekts</t>
  </si>
  <si>
    <t>DRN izlietojums obligāto ūdens kvalitātes analīžu veikšanai ūdenssaimniecībā atbilstoši spēkā esošajiem Ministru kabineta noteikumiem</t>
  </si>
  <si>
    <t>Balto zivju mazuļu populācijas pavairošana Suntažu Dzirnavu dīķī, dīķa krasta pļaušanas darbi</t>
  </si>
  <si>
    <t>Lietus kanalizācijas vada pārbūve Lapu ielā, Ogrē</t>
  </si>
  <si>
    <t>Liela diametra drenāžas vada pārbūve Cīniju ielā, Ogrē (BIS-BL-767902-13470) 2 kārta</t>
  </si>
  <si>
    <t>Novadgrāvju sistēmu atjaunošana Dārza, Kalēju, Ozolu, Draudzības ielās, Ogrē</t>
  </si>
  <si>
    <t>Lietus kanalziācijas kolektora izbūve Daugavas ielā, Ogrē</t>
  </si>
  <si>
    <t xml:space="preserve">Dzelzceļa Rīga Ērgļi pārņemtajā posmā Ogres novadā, ir jāuztur esošie dzelceļa tuneļi, kurus bebri nosprota. </t>
  </si>
  <si>
    <t>Meņģeles Zvanu ezara meniķu remontdarbi.</t>
  </si>
  <si>
    <t>Salas iela 2, Ogres vecupe, Esošā smilts materiāla papildināšana</t>
  </si>
  <si>
    <t>Meliorācijas sistēmu ikdienas uzturēšana - Ogres pilsēta, Ikšķiles pilsēta un Ogresgala pagasts</t>
  </si>
  <si>
    <t>Meliorācijas sistēmu ikdienas uzturēšana - Ķeguma pilsēta, Lielvārdes pilsēta, Tomes pagasts, Birzgales pagasts</t>
  </si>
  <si>
    <t>Ikšķiles vidusskolas jauna korpusa būvprojekta izstrāde un autoruzraudzība</t>
  </si>
  <si>
    <t>Lēdmanes ielas pārbūve, paredzot brauktuvi ar asfaltbetona segumu Ogrē, Ogres novadā ,  būvuzraudzība</t>
  </si>
  <si>
    <t>LVC veloceļa projekta gar A6 apgaismojuma gofrētās caurules iebūve Ikšķilē</t>
  </si>
  <si>
    <t>LVC veloceļa projekta gar P5 apgaismojuma gofrētā caurule iebūve Tīnūži</t>
  </si>
  <si>
    <t>04.51047</t>
  </si>
  <si>
    <t>04.51056</t>
  </si>
  <si>
    <t>04.51057</t>
  </si>
  <si>
    <t>04.51058</t>
  </si>
  <si>
    <t>04.51059</t>
  </si>
  <si>
    <t>04.51060</t>
  </si>
  <si>
    <t>04.51061</t>
  </si>
  <si>
    <t>Mūrkroga ielas Ikšķilē, Ogres novadā ielas virskārtas atjaunošana ar asfaltbetona segumu, būvuzraudzīb</t>
  </si>
  <si>
    <t>04.51062</t>
  </si>
  <si>
    <t>04.51063</t>
  </si>
  <si>
    <t>04.51064</t>
  </si>
  <si>
    <t>04.51065</t>
  </si>
  <si>
    <t>08.29035</t>
  </si>
  <si>
    <t>Ceļu būvn., uzturēš. un remontiem - Ķegums, Rembate</t>
  </si>
  <si>
    <t>Mobilitātes un sabiedriskā transporta savienojumu punkta attīstība Pārbrauktuves ielā 2, Ikšķilē, Ogres novadā būvprojekt</t>
  </si>
  <si>
    <t>Mobilitātes un sabiedriskā transporta savienojumu punkta attīstība Ciemupē, Ogres novadā, būvprojekts</t>
  </si>
  <si>
    <t>Mobilitātes un sabiedriskā transporta savienojumu punkta attīstība Stacijas laukumā, Ķegumā, Ogres novadā būvprojekts</t>
  </si>
  <si>
    <t>06.60049</t>
  </si>
  <si>
    <t>09.82098</t>
  </si>
  <si>
    <t>09.82099</t>
  </si>
  <si>
    <t>Lielvārdes pilsētas Kultūras nams</t>
  </si>
  <si>
    <t>Līdzfinansējums Jumavas grāmata par kaprāli</t>
  </si>
  <si>
    <t>Meņģeles ciema lietus kanalizācijas tīkla posma remonts</t>
  </si>
  <si>
    <t>Alise Zilberte</t>
  </si>
  <si>
    <t>Maritanna Jaskuļska</t>
  </si>
  <si>
    <t>Viktorija Millere</t>
  </si>
  <si>
    <t>Jani Hugo Doniņš</t>
  </si>
  <si>
    <t>Mazozolu pagasta veselības aprūpes punkts</t>
  </si>
  <si>
    <t>Biedrība ''Handbola Klubs Ogre''</t>
  </si>
  <si>
    <t>Biedrība ''Orientēšanās Klubs Ogre''</t>
  </si>
  <si>
    <t>Lielvārdes bibliotēkas un jauniešu centra vienotas ēkas Lielvārdē, Ogres novadā projektēšana un būvniecība</t>
  </si>
  <si>
    <t>Esošās lietus kanlizācijas sistēmas notekūdeņu uzsūkšanas lauku paplašināšana Ogrē, Andreja Pumpura ielā.</t>
  </si>
  <si>
    <t>09.82001</t>
  </si>
  <si>
    <t>09.82002</t>
  </si>
  <si>
    <t>Nordplus projekts Life Near Water plants-animals-people, Nr.NPJR-2026/10233 (Jumpravas pamatskola)</t>
  </si>
  <si>
    <t>Nordplus projekts Kindergarten and Library Cooperation Nr.NPJR-2026/10147 (Jumpravas pamatskola)</t>
  </si>
  <si>
    <t xml:space="preserve">  </t>
  </si>
  <si>
    <t>09.82019</t>
  </si>
  <si>
    <t>Erasmus programmas projekts Nr.2026-1-LV01-KA121-SCH-000447174, Kalna pamatskola</t>
  </si>
  <si>
    <t>09.82026</t>
  </si>
  <si>
    <t>09.82027</t>
  </si>
  <si>
    <t>ERAF projekts Izglītības iestāžu nodrošinājums pilnveidotā visp. izgl. satura kvalit. ieviešanai pamata un vidējās izgl. pakapē Nr.4.2.1.5/2/26/I/020</t>
  </si>
  <si>
    <t>Erasmus programmas projekts Nr.2026-1-LV01-KA121-SCH-000435317, Ogres valsts Ģimnāzija</t>
  </si>
  <si>
    <t>1070021</t>
  </si>
  <si>
    <t>ERAF "Atbalsta pasākumi cilvēkiem ar invaliditāti mājokļu vides pieejamības nodrošināšanai Ogres novadā"</t>
  </si>
  <si>
    <t>Valsts nodeva</t>
  </si>
  <si>
    <t>Ogres centrālā Bibliotēka</t>
  </si>
  <si>
    <t>Apgaismojuma izbūve Jaunrobežnieku ielā Ciemupē</t>
  </si>
  <si>
    <t>Budžeta nod. vadītāja: Daiga Kļaviņa</t>
  </si>
  <si>
    <t>Biedrība "Hokeja attīstība Ogres novadā''</t>
  </si>
  <si>
    <t xml:space="preserve">Nodibinājums ONB </t>
  </si>
  <si>
    <t>Transferti no pašvaldību budžeta valsts budžetam</t>
  </si>
  <si>
    <t>Savst. norēķ. Izglītības pakalpojumiem</t>
  </si>
  <si>
    <t>Izd.nepar. gadījumiem</t>
  </si>
  <si>
    <t>Civilās aizsardzības pasākumi</t>
  </si>
  <si>
    <t>Sabiedriskās kārtības un drošības video novēroš.</t>
  </si>
  <si>
    <t>04.510010 Autotransports (ceļu būvniecībai un remontiem, uzturēšanai)</t>
  </si>
  <si>
    <t>Ēku siltumapgādes vieda vadība, 5.1.1.4/1/24/I/002</t>
  </si>
  <si>
    <t>06.2001 Projektēšana, attīstības programma, teritoriālais plānojums</t>
  </si>
  <si>
    <t>Veselības veicināšanas pasākumiem</t>
  </si>
  <si>
    <t>Sakrālā mantojuma saglabāšana</t>
  </si>
  <si>
    <t>Ogres novada Sporta centrs</t>
  </si>
  <si>
    <t>ES fondu projekts "Integrēta “skola-kopiena” sadarbības programma atstumtības riska mazināšanai izglītības iestādēs"  Nr.4.2.3.1/1/24/I/001 (ONIP)</t>
  </si>
  <si>
    <t>Erasmus projekts COMMON (CREATION OF aMaster Musical OF nature), Nr.2024-1-FI01_KA220-SCH-000244269. Lielvārdes MMS</t>
  </si>
  <si>
    <t>Erasmus  projekts Nr.2024-1-LV01-KA122-SCH-000227350, Vai zini, kā nekļūt par kiberhuligānisma upuri, Ikšķiles vidussk.</t>
  </si>
  <si>
    <t>Ogres novada Sociālais dienests</t>
  </si>
  <si>
    <t>Sociālā palīdzība un soc. pakalpojumi iedzīvotājiem</t>
  </si>
  <si>
    <t>Pakalpojumi pašvaldības iestādēm</t>
  </si>
  <si>
    <t>09.82075</t>
  </si>
  <si>
    <t>Erasmus programmas projekts Nr.2026-1-LV01-KA121-SCH-000422120 (Ķeipenes pamtsk.)</t>
  </si>
  <si>
    <t>06.30020</t>
  </si>
  <si>
    <t>Drošības nauda ūdensapgādes traucējumu izdevumu segšanai</t>
  </si>
  <si>
    <t xml:space="preserve">Budžeta nod. vadītāja:     Daiga Kļaviņa                </t>
  </si>
  <si>
    <t>Budžeta nodaļas vadītāja: Daiga Kļaviņa</t>
  </si>
  <si>
    <t>PLĀNS</t>
  </si>
  <si>
    <t>Pakalpojumi (Rekultivētās atkritumu izgāztuves apsaimniekošanaI)</t>
  </si>
  <si>
    <t>Budžeta nod. vadītāja Daiga Kļaviņa</t>
  </si>
  <si>
    <t xml:space="preserve">Budžeta nod. vadītāja:   Daiga Kļaviņa            </t>
  </si>
  <si>
    <t>Budžeta nodaļas vadītāja:  Daiga Kļaviņa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</si>
</sst>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Ls&quot;;[Red]\-#,##0\ &quot;Ls&quot;"/>
  </numFmts>
  <fonts count="87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color indexed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6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4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name val="Arial"/>
      <family val="2"/>
      <charset val="186"/>
    </font>
    <font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name val="Times New Roman"/>
      <family val="1"/>
    </font>
    <font>
      <sz val="12"/>
      <color rgb="FF00000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2"/>
      <color indexed="8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9"/>
      <name val="Times New Roman"/>
      <family val="1"/>
      <charset val="186"/>
    </font>
    <font>
      <b/>
      <sz val="12"/>
      <color rgb="FF00B0F0"/>
      <name val="Times New Roman"/>
      <family val="1"/>
      <charset val="186"/>
    </font>
    <font>
      <sz val="12"/>
      <name val="Times New Roman"/>
      <family val="1"/>
    </font>
    <font>
      <b/>
      <sz val="12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indexed="6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theme="4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4"/>
      <color indexed="10"/>
      <name val="Times New Roman"/>
      <family val="1"/>
      <charset val="186"/>
    </font>
    <font>
      <sz val="14"/>
      <name val="Times New Roman"/>
      <family val="1"/>
    </font>
    <font>
      <sz val="16"/>
      <name val="Times New Roman"/>
      <family val="1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1"/>
      <color rgb="FF0070C0"/>
      <name val="Times New Roman"/>
      <family val="1"/>
    </font>
    <font>
      <sz val="9"/>
      <color indexed="8"/>
      <name val="Times New Roman"/>
      <family val="1"/>
    </font>
    <font>
      <b/>
      <sz val="10"/>
      <color rgb="FF000000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</font>
    <font>
      <b/>
      <sz val="9"/>
      <color indexed="8"/>
      <name val="Times New Roman"/>
      <family val="1"/>
    </font>
    <font>
      <b/>
      <sz val="12"/>
      <color rgb="FF0070C0"/>
      <name val="Times New Roman"/>
      <family val="1"/>
    </font>
    <font>
      <sz val="14"/>
      <color rgb="FF0070C0"/>
      <name val="Times New Roman"/>
      <family val="1"/>
    </font>
    <font>
      <sz val="12"/>
      <color rgb="FF0070C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b/>
      <sz val="11"/>
      <color rgb="FF161616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9" fillId="0" borderId="0"/>
    <xf numFmtId="9" fontId="61" fillId="0" borderId="0" applyFont="0" applyFill="0" applyBorder="0" applyAlignment="0" applyProtection="0"/>
    <xf numFmtId="0" fontId="1" fillId="0" borderId="0"/>
  </cellStyleXfs>
  <cellXfs count="94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/>
    <xf numFmtId="0" fontId="8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10" fillId="0" borderId="1" xfId="0" applyFont="1" applyBorder="1"/>
    <xf numFmtId="0" fontId="5" fillId="0" borderId="1" xfId="0" applyFont="1" applyBorder="1"/>
    <xf numFmtId="3" fontId="6" fillId="0" borderId="2" xfId="0" applyNumberFormat="1" applyFont="1" applyBorder="1"/>
    <xf numFmtId="0" fontId="12" fillId="0" borderId="3" xfId="0" applyFont="1" applyBorder="1"/>
    <xf numFmtId="3" fontId="5" fillId="0" borderId="5" xfId="0" applyNumberFormat="1" applyFont="1" applyBorder="1"/>
    <xf numFmtId="3" fontId="10" fillId="0" borderId="6" xfId="0" applyNumberFormat="1" applyFont="1" applyBorder="1"/>
    <xf numFmtId="3" fontId="10" fillId="0" borderId="5" xfId="0" applyNumberFormat="1" applyFont="1" applyBorder="1"/>
    <xf numFmtId="0" fontId="10" fillId="0" borderId="7" xfId="0" applyFont="1" applyBorder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19" fillId="0" borderId="0" xfId="0" applyFont="1"/>
    <xf numFmtId="0" fontId="10" fillId="0" borderId="10" xfId="0" applyFont="1" applyBorder="1"/>
    <xf numFmtId="0" fontId="12" fillId="0" borderId="8" xfId="0" applyFont="1" applyBorder="1" applyAlignment="1">
      <alignment wrapText="1"/>
    </xf>
    <xf numFmtId="3" fontId="12" fillId="0" borderId="0" xfId="0" applyNumberFormat="1" applyFont="1"/>
    <xf numFmtId="0" fontId="12" fillId="0" borderId="0" xfId="0" applyFont="1"/>
    <xf numFmtId="3" fontId="16" fillId="0" borderId="0" xfId="0" applyNumberFormat="1" applyFont="1"/>
    <xf numFmtId="3" fontId="12" fillId="0" borderId="17" xfId="0" applyNumberFormat="1" applyFont="1" applyBorder="1"/>
    <xf numFmtId="0" fontId="10" fillId="0" borderId="1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center"/>
    </xf>
    <xf numFmtId="0" fontId="5" fillId="0" borderId="8" xfId="0" applyFont="1" applyBorder="1"/>
    <xf numFmtId="0" fontId="4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6" fillId="0" borderId="12" xfId="0" applyFont="1" applyBorder="1" applyAlignment="1">
      <alignment horizontal="left"/>
    </xf>
    <xf numFmtId="0" fontId="5" fillId="0" borderId="31" xfId="0" applyFont="1" applyBorder="1"/>
    <xf numFmtId="1" fontId="6" fillId="0" borderId="32" xfId="0" applyNumberFormat="1" applyFont="1" applyBorder="1"/>
    <xf numFmtId="0" fontId="6" fillId="0" borderId="4" xfId="0" applyFont="1" applyBorder="1"/>
    <xf numFmtId="0" fontId="6" fillId="0" borderId="7" xfId="0" applyFont="1" applyBorder="1" applyAlignment="1">
      <alignment horizontal="left"/>
    </xf>
    <xf numFmtId="0" fontId="5" fillId="0" borderId="33" xfId="0" applyFont="1" applyBorder="1" applyAlignment="1">
      <alignment wrapText="1"/>
    </xf>
    <xf numFmtId="1" fontId="6" fillId="0" borderId="2" xfId="0" applyNumberFormat="1" applyFont="1" applyBorder="1"/>
    <xf numFmtId="1" fontId="6" fillId="0" borderId="1" xfId="0" applyNumberFormat="1" applyFont="1" applyBorder="1"/>
    <xf numFmtId="1" fontId="6" fillId="0" borderId="5" xfId="0" applyNumberFormat="1" applyFont="1" applyBorder="1"/>
    <xf numFmtId="0" fontId="5" fillId="0" borderId="33" xfId="0" applyFont="1" applyBorder="1"/>
    <xf numFmtId="0" fontId="23" fillId="0" borderId="1" xfId="0" applyFont="1" applyBorder="1"/>
    <xf numFmtId="0" fontId="23" fillId="0" borderId="5" xfId="0" applyFont="1" applyBorder="1"/>
    <xf numFmtId="0" fontId="5" fillId="0" borderId="34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5" xfId="0" applyFont="1" applyBorder="1"/>
    <xf numFmtId="1" fontId="23" fillId="0" borderId="6" xfId="0" applyNumberFormat="1" applyFont="1" applyBorder="1"/>
    <xf numFmtId="0" fontId="6" fillId="0" borderId="11" xfId="0" applyFont="1" applyBorder="1" applyAlignment="1">
      <alignment horizontal="left"/>
    </xf>
    <xf numFmtId="0" fontId="5" fillId="0" borderId="35" xfId="0" applyFont="1" applyBorder="1"/>
    <xf numFmtId="0" fontId="23" fillId="0" borderId="23" xfId="0" applyFont="1" applyBorder="1"/>
    <xf numFmtId="0" fontId="6" fillId="0" borderId="29" xfId="0" applyFont="1" applyBorder="1" applyAlignment="1">
      <alignment horizontal="right"/>
    </xf>
    <xf numFmtId="1" fontId="6" fillId="0" borderId="30" xfId="0" applyNumberFormat="1" applyFont="1" applyBorder="1"/>
    <xf numFmtId="0" fontId="23" fillId="0" borderId="0" xfId="0" applyFont="1" applyAlignment="1">
      <alignment horizontal="right"/>
    </xf>
    <xf numFmtId="0" fontId="23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32" xfId="0" applyFont="1" applyBorder="1"/>
    <xf numFmtId="0" fontId="6" fillId="0" borderId="2" xfId="0" applyFont="1" applyBorder="1"/>
    <xf numFmtId="0" fontId="24" fillId="0" borderId="0" xfId="0" applyFont="1"/>
    <xf numFmtId="1" fontId="5" fillId="0" borderId="33" xfId="0" applyNumberFormat="1" applyFont="1" applyBorder="1"/>
    <xf numFmtId="0" fontId="6" fillId="0" borderId="36" xfId="0" applyFont="1" applyBorder="1"/>
    <xf numFmtId="0" fontId="6" fillId="0" borderId="30" xfId="0" applyFont="1" applyBorder="1"/>
    <xf numFmtId="0" fontId="5" fillId="0" borderId="38" xfId="0" applyFont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39" xfId="0" applyFont="1" applyBorder="1"/>
    <xf numFmtId="0" fontId="4" fillId="0" borderId="40" xfId="0" applyFont="1" applyBorder="1" applyAlignment="1">
      <alignment horizontal="center"/>
    </xf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5" fillId="0" borderId="42" xfId="0" applyFont="1" applyBorder="1"/>
    <xf numFmtId="0" fontId="6" fillId="0" borderId="44" xfId="0" applyFont="1" applyBorder="1"/>
    <xf numFmtId="0" fontId="6" fillId="0" borderId="45" xfId="0" applyFont="1" applyBorder="1"/>
    <xf numFmtId="0" fontId="6" fillId="0" borderId="34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0" fontId="5" fillId="0" borderId="34" xfId="0" applyFont="1" applyBorder="1" applyAlignment="1">
      <alignment wrapText="1"/>
    </xf>
    <xf numFmtId="1" fontId="6" fillId="0" borderId="6" xfId="0" applyNumberFormat="1" applyFont="1" applyBorder="1"/>
    <xf numFmtId="0" fontId="6" fillId="0" borderId="47" xfId="0" applyFont="1" applyBorder="1"/>
    <xf numFmtId="0" fontId="6" fillId="0" borderId="9" xfId="0" applyFont="1" applyBorder="1"/>
    <xf numFmtId="0" fontId="23" fillId="0" borderId="6" xfId="0" applyFont="1" applyBorder="1"/>
    <xf numFmtId="0" fontId="23" fillId="0" borderId="2" xfId="0" applyFont="1" applyBorder="1"/>
    <xf numFmtId="0" fontId="6" fillId="0" borderId="33" xfId="0" applyFont="1" applyBorder="1" applyAlignment="1">
      <alignment horizontal="left"/>
    </xf>
    <xf numFmtId="0" fontId="6" fillId="0" borderId="6" xfId="0" applyFont="1" applyBorder="1"/>
    <xf numFmtId="0" fontId="23" fillId="0" borderId="9" xfId="0" applyFont="1" applyBorder="1"/>
    <xf numFmtId="0" fontId="5" fillId="0" borderId="49" xfId="0" applyFont="1" applyBorder="1"/>
    <xf numFmtId="0" fontId="5" fillId="0" borderId="50" xfId="0" applyFont="1" applyBorder="1"/>
    <xf numFmtId="0" fontId="6" fillId="0" borderId="51" xfId="0" applyFont="1" applyBorder="1" applyAlignment="1">
      <alignment horizontal="right"/>
    </xf>
    <xf numFmtId="1" fontId="12" fillId="0" borderId="30" xfId="0" applyNumberFormat="1" applyFont="1" applyBorder="1"/>
    <xf numFmtId="0" fontId="6" fillId="0" borderId="52" xfId="0" applyFont="1" applyBorder="1" applyAlignment="1">
      <alignment horizontal="left"/>
    </xf>
    <xf numFmtId="0" fontId="5" fillId="0" borderId="53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3" xfId="0" applyFont="1" applyBorder="1"/>
    <xf numFmtId="0" fontId="6" fillId="0" borderId="54" xfId="0" applyFont="1" applyBorder="1" applyAlignment="1">
      <alignment horizontal="left"/>
    </xf>
    <xf numFmtId="1" fontId="6" fillId="0" borderId="9" xfId="0" applyNumberFormat="1" applyFont="1" applyBorder="1"/>
    <xf numFmtId="0" fontId="5" fillId="0" borderId="0" xfId="0" applyFont="1" applyAlignment="1">
      <alignment horizontal="right" wrapText="1"/>
    </xf>
    <xf numFmtId="0" fontId="5" fillId="0" borderId="53" xfId="0" applyFont="1" applyBorder="1" applyAlignment="1">
      <alignment wrapText="1"/>
    </xf>
    <xf numFmtId="0" fontId="6" fillId="0" borderId="56" xfId="0" applyFont="1" applyBorder="1"/>
    <xf numFmtId="0" fontId="23" fillId="0" borderId="36" xfId="0" applyFont="1" applyBorder="1"/>
    <xf numFmtId="0" fontId="6" fillId="0" borderId="29" xfId="0" applyFont="1" applyBorder="1" applyAlignment="1">
      <alignment horizontal="right" wrapText="1"/>
    </xf>
    <xf numFmtId="0" fontId="5" fillId="0" borderId="57" xfId="0" applyFont="1" applyBorder="1"/>
    <xf numFmtId="0" fontId="5" fillId="0" borderId="19" xfId="0" applyFont="1" applyBorder="1" applyAlignment="1">
      <alignment horizontal="center" wrapText="1"/>
    </xf>
    <xf numFmtId="0" fontId="6" fillId="0" borderId="58" xfId="0" applyFont="1" applyBorder="1"/>
    <xf numFmtId="0" fontId="25" fillId="0" borderId="2" xfId="0" applyFont="1" applyBorder="1"/>
    <xf numFmtId="0" fontId="5" fillId="0" borderId="9" xfId="0" applyFont="1" applyBorder="1"/>
    <xf numFmtId="0" fontId="5" fillId="0" borderId="2" xfId="0" applyFont="1" applyBorder="1"/>
    <xf numFmtId="0" fontId="6" fillId="0" borderId="59" xfId="0" applyFont="1" applyBorder="1"/>
    <xf numFmtId="0" fontId="6" fillId="0" borderId="60" xfId="0" applyFont="1" applyBorder="1"/>
    <xf numFmtId="0" fontId="5" fillId="0" borderId="61" xfId="0" applyFont="1" applyBorder="1"/>
    <xf numFmtId="0" fontId="4" fillId="0" borderId="29" xfId="0" applyFont="1" applyBorder="1" applyAlignment="1">
      <alignment horizontal="center" wrapText="1"/>
    </xf>
    <xf numFmtId="0" fontId="6" fillId="0" borderId="6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63" xfId="0" applyFont="1" applyBorder="1" applyAlignment="1">
      <alignment horizontal="left"/>
    </xf>
    <xf numFmtId="0" fontId="6" fillId="0" borderId="64" xfId="0" applyFont="1" applyBorder="1" applyAlignment="1">
      <alignment horizontal="left"/>
    </xf>
    <xf numFmtId="0" fontId="5" fillId="0" borderId="65" xfId="0" applyFont="1" applyBorder="1" applyAlignment="1">
      <alignment wrapText="1"/>
    </xf>
    <xf numFmtId="0" fontId="6" fillId="0" borderId="20" xfId="0" applyFont="1" applyBorder="1"/>
    <xf numFmtId="0" fontId="6" fillId="0" borderId="55" xfId="0" applyFont="1" applyBorder="1"/>
    <xf numFmtId="0" fontId="5" fillId="0" borderId="55" xfId="0" applyFont="1" applyBorder="1"/>
    <xf numFmtId="0" fontId="5" fillId="0" borderId="67" xfId="0" applyFont="1" applyBorder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7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5" fillId="0" borderId="68" xfId="0" applyFont="1" applyBorder="1"/>
    <xf numFmtId="0" fontId="12" fillId="0" borderId="0" xfId="0" applyFont="1" applyAlignment="1">
      <alignment horizontal="center"/>
    </xf>
    <xf numFmtId="0" fontId="6" fillId="0" borderId="72" xfId="0" applyFont="1" applyBorder="1" applyAlignment="1">
      <alignment horizontal="left"/>
    </xf>
    <xf numFmtId="1" fontId="5" fillId="0" borderId="0" xfId="0" applyNumberFormat="1" applyFont="1"/>
    <xf numFmtId="0" fontId="5" fillId="0" borderId="7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6" fillId="0" borderId="8" xfId="0" applyFont="1" applyBorder="1"/>
    <xf numFmtId="0" fontId="6" fillId="0" borderId="3" xfId="0" applyFont="1" applyBorder="1"/>
    <xf numFmtId="3" fontId="6" fillId="0" borderId="13" xfId="0" applyNumberFormat="1" applyFont="1" applyBorder="1"/>
    <xf numFmtId="0" fontId="22" fillId="0" borderId="0" xfId="0" applyFont="1"/>
    <xf numFmtId="0" fontId="27" fillId="0" borderId="0" xfId="0" applyFont="1" applyAlignment="1">
      <alignment horizontal="center"/>
    </xf>
    <xf numFmtId="3" fontId="10" fillId="0" borderId="9" xfId="0" applyNumberFormat="1" applyFont="1" applyBorder="1"/>
    <xf numFmtId="0" fontId="27" fillId="0" borderId="0" xfId="0" applyFont="1"/>
    <xf numFmtId="0" fontId="11" fillId="0" borderId="0" xfId="0" applyFont="1"/>
    <xf numFmtId="0" fontId="28" fillId="0" borderId="0" xfId="0" applyFont="1"/>
    <xf numFmtId="0" fontId="11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0" fontId="28" fillId="0" borderId="0" xfId="0" applyFont="1" applyAlignment="1">
      <alignment wrapText="1"/>
    </xf>
    <xf numFmtId="0" fontId="5" fillId="0" borderId="4" xfId="0" applyFont="1" applyBorder="1"/>
    <xf numFmtId="3" fontId="5" fillId="0" borderId="0" xfId="0" applyNumberFormat="1" applyFont="1"/>
    <xf numFmtId="1" fontId="6" fillId="0" borderId="17" xfId="0" applyNumberFormat="1" applyFont="1" applyBorder="1"/>
    <xf numFmtId="0" fontId="6" fillId="0" borderId="79" xfId="0" applyFont="1" applyBorder="1" applyAlignment="1">
      <alignment horizontal="left"/>
    </xf>
    <xf numFmtId="0" fontId="10" fillId="0" borderId="4" xfId="0" applyFont="1" applyBorder="1"/>
    <xf numFmtId="0" fontId="5" fillId="0" borderId="80" xfId="0" applyFont="1" applyBorder="1" applyAlignment="1">
      <alignment horizontal="center" wrapText="1"/>
    </xf>
    <xf numFmtId="0" fontId="5" fillId="0" borderId="81" xfId="0" applyFont="1" applyBorder="1"/>
    <xf numFmtId="0" fontId="4" fillId="0" borderId="82" xfId="0" applyFont="1" applyBorder="1" applyAlignment="1">
      <alignment horizontal="center" wrapText="1"/>
    </xf>
    <xf numFmtId="3" fontId="6" fillId="2" borderId="2" xfId="0" applyNumberFormat="1" applyFont="1" applyFill="1" applyBorder="1"/>
    <xf numFmtId="3" fontId="10" fillId="0" borderId="22" xfId="0" applyNumberFormat="1" applyFont="1" applyBorder="1"/>
    <xf numFmtId="0" fontId="10" fillId="0" borderId="4" xfId="0" applyFont="1" applyBorder="1" applyAlignment="1">
      <alignment wrapText="1"/>
    </xf>
    <xf numFmtId="3" fontId="11" fillId="0" borderId="5" xfId="0" applyNumberFormat="1" applyFont="1" applyBorder="1"/>
    <xf numFmtId="0" fontId="10" fillId="0" borderId="12" xfId="0" applyFont="1" applyBorder="1" applyAlignment="1">
      <alignment wrapText="1"/>
    </xf>
    <xf numFmtId="3" fontId="6" fillId="2" borderId="6" xfId="0" applyNumberFormat="1" applyFont="1" applyFill="1" applyBorder="1"/>
    <xf numFmtId="3" fontId="6" fillId="0" borderId="6" xfId="0" applyNumberFormat="1" applyFont="1" applyBorder="1"/>
    <xf numFmtId="0" fontId="28" fillId="0" borderId="0" xfId="0" applyFont="1" applyAlignment="1">
      <alignment horizontal="right" wrapText="1"/>
    </xf>
    <xf numFmtId="3" fontId="28" fillId="0" borderId="0" xfId="0" applyNumberFormat="1" applyFont="1"/>
    <xf numFmtId="0" fontId="10" fillId="0" borderId="26" xfId="0" applyFont="1" applyBorder="1" applyAlignment="1">
      <alignment horizontal="center" wrapText="1"/>
    </xf>
    <xf numFmtId="3" fontId="12" fillId="0" borderId="19" xfId="0" applyNumberFormat="1" applyFont="1" applyBorder="1"/>
    <xf numFmtId="3" fontId="12" fillId="0" borderId="13" xfId="0" applyNumberFormat="1" applyFont="1" applyBorder="1"/>
    <xf numFmtId="0" fontId="4" fillId="0" borderId="0" xfId="0" applyFont="1"/>
    <xf numFmtId="0" fontId="5" fillId="0" borderId="14" xfId="0" applyFont="1" applyBorder="1" applyAlignment="1">
      <alignment wrapText="1"/>
    </xf>
    <xf numFmtId="0" fontId="5" fillId="0" borderId="0" xfId="2" applyFont="1" applyAlignment="1">
      <alignment horizontal="center"/>
    </xf>
    <xf numFmtId="49" fontId="5" fillId="0" borderId="71" xfId="2" applyNumberFormat="1" applyFont="1" applyBorder="1" applyAlignment="1">
      <alignment horizontal="center"/>
    </xf>
    <xf numFmtId="0" fontId="5" fillId="0" borderId="1" xfId="2" applyFont="1" applyBorder="1"/>
    <xf numFmtId="3" fontId="5" fillId="0" borderId="1" xfId="2" applyNumberFormat="1" applyFont="1" applyBorder="1"/>
    <xf numFmtId="0" fontId="5" fillId="0" borderId="8" xfId="2" applyFont="1" applyBorder="1"/>
    <xf numFmtId="0" fontId="6" fillId="0" borderId="29" xfId="2" applyFont="1" applyBorder="1" applyAlignment="1">
      <alignment horizontal="right"/>
    </xf>
    <xf numFmtId="0" fontId="5" fillId="0" borderId="33" xfId="2" applyFont="1" applyBorder="1"/>
    <xf numFmtId="0" fontId="6" fillId="0" borderId="76" xfId="2" applyFont="1" applyBorder="1" applyAlignment="1">
      <alignment horizontal="right"/>
    </xf>
    <xf numFmtId="0" fontId="34" fillId="0" borderId="33" xfId="2" applyFont="1" applyBorder="1"/>
    <xf numFmtId="3" fontId="5" fillId="0" borderId="4" xfId="2" applyNumberFormat="1" applyFont="1" applyBorder="1"/>
    <xf numFmtId="3" fontId="5" fillId="0" borderId="0" xfId="2" applyNumberFormat="1" applyFont="1"/>
    <xf numFmtId="0" fontId="5" fillId="0" borderId="0" xfId="2" applyFont="1"/>
    <xf numFmtId="49" fontId="6" fillId="0" borderId="0" xfId="0" applyNumberFormat="1" applyFont="1"/>
    <xf numFmtId="49" fontId="5" fillId="0" borderId="0" xfId="0" applyNumberFormat="1" applyFont="1" applyAlignment="1">
      <alignment wrapText="1"/>
    </xf>
    <xf numFmtId="0" fontId="6" fillId="0" borderId="38" xfId="0" applyFont="1" applyBorder="1"/>
    <xf numFmtId="0" fontId="6" fillId="0" borderId="41" xfId="0" applyFont="1" applyBorder="1"/>
    <xf numFmtId="0" fontId="5" fillId="0" borderId="95" xfId="0" applyFont="1" applyBorder="1" applyAlignment="1">
      <alignment wrapText="1"/>
    </xf>
    <xf numFmtId="0" fontId="32" fillId="0" borderId="0" xfId="0" applyFont="1"/>
    <xf numFmtId="0" fontId="32" fillId="0" borderId="0" xfId="0" applyFont="1" applyAlignment="1">
      <alignment wrapText="1"/>
    </xf>
    <xf numFmtId="0" fontId="10" fillId="0" borderId="9" xfId="4" applyFont="1" applyBorder="1" applyAlignment="1">
      <alignment horizontal="left" wrapText="1"/>
    </xf>
    <xf numFmtId="3" fontId="10" fillId="0" borderId="0" xfId="0" applyNumberFormat="1" applyFont="1"/>
    <xf numFmtId="0" fontId="10" fillId="0" borderId="0" xfId="0" applyFont="1" applyAlignment="1">
      <alignment horizontal="right"/>
    </xf>
    <xf numFmtId="3" fontId="12" fillId="3" borderId="17" xfId="0" applyNumberFormat="1" applyFont="1" applyFill="1" applyBorder="1"/>
    <xf numFmtId="3" fontId="11" fillId="0" borderId="22" xfId="0" applyNumberFormat="1" applyFont="1" applyBorder="1"/>
    <xf numFmtId="0" fontId="23" fillId="0" borderId="66" xfId="0" applyFont="1" applyBorder="1"/>
    <xf numFmtId="0" fontId="5" fillId="0" borderId="35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10" fillId="0" borderId="73" xfId="0" applyFont="1" applyBorder="1" applyAlignment="1">
      <alignment wrapText="1"/>
    </xf>
    <xf numFmtId="3" fontId="16" fillId="0" borderId="0" xfId="4" applyNumberFormat="1" applyFont="1"/>
    <xf numFmtId="0" fontId="1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top" wrapText="1"/>
    </xf>
    <xf numFmtId="0" fontId="40" fillId="0" borderId="1" xfId="0" applyFont="1" applyBorder="1" applyAlignment="1">
      <alignment wrapText="1"/>
    </xf>
    <xf numFmtId="0" fontId="41" fillId="0" borderId="0" xfId="0" applyFont="1" applyAlignment="1">
      <alignment horizontal="right"/>
    </xf>
    <xf numFmtId="1" fontId="39" fillId="0" borderId="0" xfId="0" applyNumberFormat="1" applyFont="1"/>
    <xf numFmtId="1" fontId="39" fillId="0" borderId="0" xfId="0" applyNumberFormat="1" applyFont="1" applyAlignment="1">
      <alignment horizontal="right"/>
    </xf>
    <xf numFmtId="0" fontId="37" fillId="0" borderId="0" xfId="0" applyFont="1" applyAlignment="1">
      <alignment horizontal="right" wrapText="1"/>
    </xf>
    <xf numFmtId="0" fontId="42" fillId="0" borderId="0" xfId="0" applyFont="1"/>
    <xf numFmtId="0" fontId="6" fillId="0" borderId="0" xfId="2" applyFont="1"/>
    <xf numFmtId="0" fontId="19" fillId="0" borderId="0" xfId="2" applyFont="1" applyAlignment="1">
      <alignment horizontal="center"/>
    </xf>
    <xf numFmtId="49" fontId="19" fillId="0" borderId="0" xfId="2" applyNumberFormat="1" applyFont="1" applyAlignment="1">
      <alignment horizontal="center"/>
    </xf>
    <xf numFmtId="0" fontId="16" fillId="0" borderId="0" xfId="2" applyFont="1" applyAlignment="1">
      <alignment horizontal="center"/>
    </xf>
    <xf numFmtId="0" fontId="5" fillId="0" borderId="91" xfId="2" applyFont="1" applyBorder="1"/>
    <xf numFmtId="0" fontId="5" fillId="0" borderId="9" xfId="2" applyFont="1" applyBorder="1"/>
    <xf numFmtId="0" fontId="5" fillId="0" borderId="27" xfId="2" applyFont="1" applyBorder="1"/>
    <xf numFmtId="0" fontId="6" fillId="0" borderId="8" xfId="2" applyFont="1" applyBorder="1"/>
    <xf numFmtId="0" fontId="6" fillId="0" borderId="3" xfId="2" applyFont="1" applyBorder="1"/>
    <xf numFmtId="0" fontId="5" fillId="0" borderId="21" xfId="2" applyFont="1" applyBorder="1"/>
    <xf numFmtId="3" fontId="6" fillId="0" borderId="30" xfId="2" applyNumberFormat="1" applyFont="1" applyBorder="1"/>
    <xf numFmtId="0" fontId="6" fillId="0" borderId="14" xfId="2" applyFont="1" applyBorder="1"/>
    <xf numFmtId="0" fontId="6" fillId="0" borderId="15" xfId="2" applyFont="1" applyBorder="1"/>
    <xf numFmtId="3" fontId="5" fillId="0" borderId="21" xfId="2" applyNumberFormat="1" applyFont="1" applyBorder="1"/>
    <xf numFmtId="0" fontId="10" fillId="0" borderId="8" xfId="2" applyFont="1" applyBorder="1"/>
    <xf numFmtId="0" fontId="5" fillId="0" borderId="4" xfId="2" applyFont="1" applyBorder="1"/>
    <xf numFmtId="0" fontId="5" fillId="0" borderId="7" xfId="2" applyFont="1" applyBorder="1" applyAlignment="1">
      <alignment horizontal="right"/>
    </xf>
    <xf numFmtId="0" fontId="5" fillId="0" borderId="11" xfId="2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7" fillId="0" borderId="0" xfId="2" applyNumberFormat="1" applyFont="1" applyAlignment="1">
      <alignment wrapText="1"/>
    </xf>
    <xf numFmtId="3" fontId="5" fillId="0" borderId="0" xfId="2" applyNumberFormat="1" applyFont="1" applyAlignment="1">
      <alignment wrapText="1"/>
    </xf>
    <xf numFmtId="3" fontId="5" fillId="0" borderId="0" xfId="2" applyNumberFormat="1" applyFont="1" applyAlignment="1">
      <alignment horizontal="right"/>
    </xf>
    <xf numFmtId="0" fontId="16" fillId="0" borderId="0" xfId="4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16" fillId="0" borderId="0" xfId="4" applyFont="1" applyAlignment="1">
      <alignment horizontal="center"/>
    </xf>
    <xf numFmtId="0" fontId="5" fillId="0" borderId="12" xfId="2" applyFont="1" applyBorder="1"/>
    <xf numFmtId="0" fontId="5" fillId="0" borderId="31" xfId="2" applyFont="1" applyBorder="1" applyAlignment="1">
      <alignment horizontal="right"/>
    </xf>
    <xf numFmtId="0" fontId="5" fillId="0" borderId="7" xfId="2" applyFont="1" applyBorder="1"/>
    <xf numFmtId="0" fontId="5" fillId="0" borderId="11" xfId="2" applyFont="1" applyBorder="1"/>
    <xf numFmtId="0" fontId="15" fillId="0" borderId="29" xfId="2" applyFont="1" applyBorder="1" applyAlignment="1">
      <alignment horizontal="center"/>
    </xf>
    <xf numFmtId="0" fontId="5" fillId="0" borderId="3" xfId="2" applyFont="1" applyBorder="1"/>
    <xf numFmtId="0" fontId="5" fillId="0" borderId="12" xfId="2" applyFont="1" applyBorder="1" applyAlignment="1">
      <alignment horizontal="right"/>
    </xf>
    <xf numFmtId="0" fontId="5" fillId="0" borderId="31" xfId="2" applyFont="1" applyBorder="1"/>
    <xf numFmtId="0" fontId="5" fillId="0" borderId="35" xfId="2" applyFont="1" applyBorder="1"/>
    <xf numFmtId="0" fontId="6" fillId="0" borderId="94" xfId="0" applyFont="1" applyBorder="1"/>
    <xf numFmtId="1" fontId="6" fillId="0" borderId="47" xfId="0" applyNumberFormat="1" applyFont="1" applyBorder="1"/>
    <xf numFmtId="0" fontId="41" fillId="0" borderId="2" xfId="0" applyFont="1" applyBorder="1"/>
    <xf numFmtId="0" fontId="5" fillId="0" borderId="10" xfId="0" applyFont="1" applyBorder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0" fontId="6" fillId="0" borderId="101" xfId="0" applyFont="1" applyBorder="1" applyAlignment="1">
      <alignment horizontal="left"/>
    </xf>
    <xf numFmtId="0" fontId="5" fillId="0" borderId="102" xfId="0" applyFont="1" applyBorder="1" applyAlignment="1">
      <alignment wrapText="1"/>
    </xf>
    <xf numFmtId="0" fontId="37" fillId="0" borderId="0" xfId="0" applyFont="1" applyAlignment="1">
      <alignment horizontal="right"/>
    </xf>
    <xf numFmtId="0" fontId="43" fillId="0" borderId="0" xfId="0" applyFont="1"/>
    <xf numFmtId="3" fontId="6" fillId="0" borderId="32" xfId="2" applyNumberFormat="1" applyFont="1" applyBorder="1"/>
    <xf numFmtId="3" fontId="6" fillId="0" borderId="66" xfId="2" applyNumberFormat="1" applyFont="1" applyBorder="1"/>
    <xf numFmtId="0" fontId="6" fillId="0" borderId="31" xfId="0" applyFont="1" applyBorder="1"/>
    <xf numFmtId="0" fontId="6" fillId="0" borderId="33" xfId="0" applyFont="1" applyBorder="1"/>
    <xf numFmtId="0" fontId="23" fillId="0" borderId="33" xfId="0" applyFont="1" applyBorder="1"/>
    <xf numFmtId="0" fontId="23" fillId="0" borderId="35" xfId="0" applyFont="1" applyBorder="1"/>
    <xf numFmtId="0" fontId="44" fillId="0" borderId="0" xfId="0" applyFont="1" applyAlignment="1">
      <alignment horizontal="right"/>
    </xf>
    <xf numFmtId="0" fontId="6" fillId="0" borderId="0" xfId="2" applyFont="1" applyAlignment="1">
      <alignment vertical="top"/>
    </xf>
    <xf numFmtId="49" fontId="6" fillId="0" borderId="0" xfId="2" applyNumberFormat="1" applyFont="1" applyAlignment="1">
      <alignment horizontal="center"/>
    </xf>
    <xf numFmtId="0" fontId="23" fillId="0" borderId="0" xfId="4" applyFont="1" applyAlignment="1">
      <alignment horizontal="center"/>
    </xf>
    <xf numFmtId="0" fontId="16" fillId="0" borderId="0" xfId="4" applyFont="1" applyAlignment="1">
      <alignment horizontal="left" vertical="top"/>
    </xf>
    <xf numFmtId="1" fontId="5" fillId="0" borderId="52" xfId="2" applyNumberFormat="1" applyFont="1" applyBorder="1" applyAlignment="1">
      <alignment wrapText="1"/>
    </xf>
    <xf numFmtId="1" fontId="5" fillId="0" borderId="1" xfId="2" applyNumberFormat="1" applyFont="1" applyBorder="1" applyAlignment="1">
      <alignment wrapText="1"/>
    </xf>
    <xf numFmtId="1" fontId="5" fillId="0" borderId="21" xfId="2" applyNumberFormat="1" applyFont="1" applyBorder="1" applyAlignment="1">
      <alignment wrapText="1"/>
    </xf>
    <xf numFmtId="1" fontId="6" fillId="0" borderId="30" xfId="2" applyNumberFormat="1" applyFont="1" applyBorder="1" applyAlignment="1">
      <alignment wrapText="1"/>
    </xf>
    <xf numFmtId="1" fontId="5" fillId="0" borderId="30" xfId="2" applyNumberFormat="1" applyFont="1" applyBorder="1" applyAlignment="1">
      <alignment horizontal="center" wrapText="1"/>
    </xf>
    <xf numFmtId="1" fontId="6" fillId="0" borderId="44" xfId="2" applyNumberFormat="1" applyFont="1" applyBorder="1" applyAlignment="1">
      <alignment wrapText="1"/>
    </xf>
    <xf numFmtId="1" fontId="5" fillId="3" borderId="52" xfId="2" applyNumberFormat="1" applyFont="1" applyFill="1" applyBorder="1" applyAlignment="1">
      <alignment wrapText="1"/>
    </xf>
    <xf numFmtId="0" fontId="5" fillId="0" borderId="33" xfId="2" applyFont="1" applyBorder="1" applyAlignment="1">
      <alignment horizontal="left" vertical="top" wrapText="1"/>
    </xf>
    <xf numFmtId="1" fontId="5" fillId="2" borderId="1" xfId="2" applyNumberFormat="1" applyFont="1" applyFill="1" applyBorder="1" applyAlignment="1">
      <alignment wrapText="1"/>
    </xf>
    <xf numFmtId="1" fontId="5" fillId="3" borderId="1" xfId="2" applyNumberFormat="1" applyFont="1" applyFill="1" applyBorder="1" applyAlignment="1">
      <alignment wrapText="1"/>
    </xf>
    <xf numFmtId="0" fontId="6" fillId="0" borderId="7" xfId="2" applyFont="1" applyBorder="1" applyAlignment="1">
      <alignment horizontal="right"/>
    </xf>
    <xf numFmtId="0" fontId="6" fillId="0" borderId="1" xfId="2" applyFont="1" applyBorder="1"/>
    <xf numFmtId="0" fontId="6" fillId="0" borderId="33" xfId="2" applyFont="1" applyBorder="1"/>
    <xf numFmtId="1" fontId="6" fillId="2" borderId="1" xfId="2" applyNumberFormat="1" applyFont="1" applyFill="1" applyBorder="1" applyAlignment="1">
      <alignment wrapText="1"/>
    </xf>
    <xf numFmtId="0" fontId="23" fillId="0" borderId="0" xfId="4" applyFont="1"/>
    <xf numFmtId="1" fontId="5" fillId="3" borderId="21" xfId="2" applyNumberFormat="1" applyFont="1" applyFill="1" applyBorder="1" applyAlignment="1">
      <alignment wrapText="1"/>
    </xf>
    <xf numFmtId="1" fontId="5" fillId="0" borderId="15" xfId="2" applyNumberFormat="1" applyFont="1" applyBorder="1" applyAlignment="1">
      <alignment wrapText="1"/>
    </xf>
    <xf numFmtId="1" fontId="16" fillId="0" borderId="0" xfId="4" applyNumberFormat="1" applyFont="1"/>
    <xf numFmtId="0" fontId="16" fillId="3" borderId="0" xfId="4" applyFont="1" applyFill="1"/>
    <xf numFmtId="1" fontId="6" fillId="0" borderId="69" xfId="0" applyNumberFormat="1" applyFont="1" applyBorder="1"/>
    <xf numFmtId="0" fontId="6" fillId="0" borderId="86" xfId="0" applyFont="1" applyBorder="1"/>
    <xf numFmtId="0" fontId="23" fillId="0" borderId="20" xfId="0" applyFont="1" applyBorder="1"/>
    <xf numFmtId="3" fontId="17" fillId="0" borderId="33" xfId="2" applyNumberFormat="1" applyFont="1" applyBorder="1" applyAlignment="1">
      <alignment wrapText="1"/>
    </xf>
    <xf numFmtId="3" fontId="5" fillId="0" borderId="1" xfId="2" applyNumberFormat="1" applyFont="1" applyBorder="1" applyAlignment="1">
      <alignment wrapText="1"/>
    </xf>
    <xf numFmtId="3" fontId="5" fillId="0" borderId="21" xfId="2" applyNumberFormat="1" applyFont="1" applyBorder="1" applyAlignment="1">
      <alignment wrapText="1"/>
    </xf>
    <xf numFmtId="3" fontId="6" fillId="0" borderId="1" xfId="2" applyNumberFormat="1" applyFont="1" applyBorder="1"/>
    <xf numFmtId="0" fontId="31" fillId="0" borderId="33" xfId="4" applyFont="1" applyBorder="1" applyAlignment="1">
      <alignment wrapText="1"/>
    </xf>
    <xf numFmtId="0" fontId="5" fillId="0" borderId="7" xfId="0" applyFont="1" applyBorder="1"/>
    <xf numFmtId="0" fontId="5" fillId="0" borderId="7" xfId="0" applyFont="1" applyBorder="1" applyAlignment="1">
      <alignment horizontal="left"/>
    </xf>
    <xf numFmtId="3" fontId="17" fillId="0" borderId="1" xfId="2" applyNumberFormat="1" applyFont="1" applyBorder="1" applyAlignment="1">
      <alignment wrapText="1"/>
    </xf>
    <xf numFmtId="3" fontId="6" fillId="0" borderId="70" xfId="2" applyNumberFormat="1" applyFont="1" applyBorder="1"/>
    <xf numFmtId="0" fontId="43" fillId="0" borderId="0" xfId="0" applyFont="1" applyAlignment="1">
      <alignment horizontal="center" wrapText="1"/>
    </xf>
    <xf numFmtId="1" fontId="6" fillId="0" borderId="93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21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/>
    </xf>
    <xf numFmtId="0" fontId="5" fillId="0" borderId="30" xfId="2" applyFont="1" applyBorder="1" applyAlignment="1">
      <alignment horizontal="center" wrapText="1"/>
    </xf>
    <xf numFmtId="0" fontId="10" fillId="0" borderId="57" xfId="0" applyFont="1" applyBorder="1" applyAlignment="1">
      <alignment horizontal="center" wrapText="1"/>
    </xf>
    <xf numFmtId="0" fontId="11" fillId="0" borderId="75" xfId="0" applyFont="1" applyBorder="1" applyAlignment="1">
      <alignment horizontal="center" wrapText="1"/>
    </xf>
    <xf numFmtId="0" fontId="10" fillId="0" borderId="54" xfId="0" applyFont="1" applyBorder="1" applyAlignment="1">
      <alignment wrapText="1"/>
    </xf>
    <xf numFmtId="3" fontId="10" fillId="0" borderId="69" xfId="0" applyNumberFormat="1" applyFont="1" applyBorder="1"/>
    <xf numFmtId="0" fontId="10" fillId="3" borderId="7" xfId="0" applyFont="1" applyFill="1" applyBorder="1" applyAlignment="1">
      <alignment wrapText="1"/>
    </xf>
    <xf numFmtId="4" fontId="10" fillId="0" borderId="9" xfId="0" applyNumberFormat="1" applyFont="1" applyBorder="1" applyAlignment="1">
      <alignment wrapText="1"/>
    </xf>
    <xf numFmtId="0" fontId="10" fillId="3" borderId="7" xfId="0" applyFont="1" applyFill="1" applyBorder="1" applyAlignment="1">
      <alignment horizontal="left"/>
    </xf>
    <xf numFmtId="4" fontId="12" fillId="0" borderId="19" xfId="0" applyNumberFormat="1" applyFont="1" applyBorder="1" applyAlignment="1">
      <alignment wrapText="1"/>
    </xf>
    <xf numFmtId="0" fontId="12" fillId="0" borderId="19" xfId="0" applyFont="1" applyBorder="1" applyAlignment="1">
      <alignment horizontal="right" wrapText="1"/>
    </xf>
    <xf numFmtId="0" fontId="5" fillId="3" borderId="8" xfId="2" applyFont="1" applyFill="1" applyBorder="1" applyAlignment="1">
      <alignment horizontal="center" wrapText="1"/>
    </xf>
    <xf numFmtId="3" fontId="10" fillId="0" borderId="7" xfId="0" applyNumberFormat="1" applyFont="1" applyBorder="1"/>
    <xf numFmtId="3" fontId="10" fillId="0" borderId="12" xfId="0" applyNumberFormat="1" applyFont="1" applyBorder="1"/>
    <xf numFmtId="0" fontId="10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3" fontId="10" fillId="0" borderId="11" xfId="0" applyNumberFormat="1" applyFont="1" applyBorder="1"/>
    <xf numFmtId="0" fontId="10" fillId="0" borderId="21" xfId="0" applyFont="1" applyBorder="1" applyAlignment="1">
      <alignment wrapText="1"/>
    </xf>
    <xf numFmtId="3" fontId="10" fillId="0" borderId="8" xfId="0" applyNumberFormat="1" applyFont="1" applyBorder="1"/>
    <xf numFmtId="0" fontId="12" fillId="0" borderId="3" xfId="0" applyFont="1" applyBorder="1" applyAlignment="1">
      <alignment wrapText="1"/>
    </xf>
    <xf numFmtId="0" fontId="6" fillId="0" borderId="103" xfId="0" applyFont="1" applyBorder="1" applyAlignment="1">
      <alignment horizontal="left"/>
    </xf>
    <xf numFmtId="0" fontId="6" fillId="0" borderId="78" xfId="0" applyFont="1" applyBorder="1"/>
    <xf numFmtId="0" fontId="5" fillId="0" borderId="47" xfId="0" applyFont="1" applyBorder="1"/>
    <xf numFmtId="0" fontId="23" fillId="0" borderId="47" xfId="0" applyFont="1" applyBorder="1"/>
    <xf numFmtId="0" fontId="6" fillId="0" borderId="52" xfId="0" applyFont="1" applyBorder="1"/>
    <xf numFmtId="0" fontId="6" fillId="0" borderId="70" xfId="0" applyFont="1" applyBorder="1"/>
    <xf numFmtId="3" fontId="5" fillId="3" borderId="33" xfId="2" applyNumberFormat="1" applyFont="1" applyFill="1" applyBorder="1" applyAlignment="1">
      <alignment wrapText="1"/>
    </xf>
    <xf numFmtId="3" fontId="17" fillId="3" borderId="33" xfId="2" applyNumberFormat="1" applyFont="1" applyFill="1" applyBorder="1" applyAlignment="1">
      <alignment wrapText="1"/>
    </xf>
    <xf numFmtId="49" fontId="6" fillId="0" borderId="0" xfId="2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3" fontId="11" fillId="0" borderId="0" xfId="0" applyNumberFormat="1" applyFont="1"/>
    <xf numFmtId="0" fontId="5" fillId="0" borderId="11" xfId="4" applyFont="1" applyBorder="1" applyAlignment="1">
      <alignment horizontal="left" wrapText="1"/>
    </xf>
    <xf numFmtId="3" fontId="10" fillId="0" borderId="5" xfId="4" applyNumberFormat="1" applyFont="1" applyBorder="1"/>
    <xf numFmtId="3" fontId="6" fillId="0" borderId="21" xfId="2" applyNumberFormat="1" applyFont="1" applyBorder="1"/>
    <xf numFmtId="2" fontId="5" fillId="0" borderId="0" xfId="0" applyNumberFormat="1" applyFont="1"/>
    <xf numFmtId="3" fontId="50" fillId="0" borderId="0" xfId="0" applyNumberFormat="1" applyFont="1"/>
    <xf numFmtId="0" fontId="50" fillId="0" borderId="0" xfId="0" applyFont="1" applyAlignment="1">
      <alignment wrapText="1"/>
    </xf>
    <xf numFmtId="3" fontId="52" fillId="0" borderId="0" xfId="0" applyNumberFormat="1" applyFont="1"/>
    <xf numFmtId="0" fontId="51" fillId="0" borderId="0" xfId="0" applyFont="1" applyAlignment="1">
      <alignment wrapText="1"/>
    </xf>
    <xf numFmtId="3" fontId="31" fillId="0" borderId="0" xfId="0" applyNumberFormat="1" applyFont="1"/>
    <xf numFmtId="0" fontId="31" fillId="0" borderId="0" xfId="0" applyFont="1" applyAlignment="1">
      <alignment wrapText="1"/>
    </xf>
    <xf numFmtId="3" fontId="27" fillId="0" borderId="0" xfId="0" applyNumberFormat="1" applyFont="1"/>
    <xf numFmtId="0" fontId="46" fillId="0" borderId="0" xfId="0" applyFont="1"/>
    <xf numFmtId="0" fontId="12" fillId="0" borderId="0" xfId="3" applyFont="1"/>
    <xf numFmtId="0" fontId="13" fillId="0" borderId="0" xfId="3" applyFont="1"/>
    <xf numFmtId="0" fontId="11" fillId="0" borderId="0" xfId="3" applyFont="1"/>
    <xf numFmtId="0" fontId="47" fillId="0" borderId="0" xfId="0" applyFont="1"/>
    <xf numFmtId="0" fontId="39" fillId="0" borderId="0" xfId="0" applyFont="1" applyAlignment="1">
      <alignment horizontal="center" wrapText="1"/>
    </xf>
    <xf numFmtId="3" fontId="17" fillId="0" borderId="0" xfId="0" applyNumberFormat="1" applyFont="1"/>
    <xf numFmtId="0" fontId="17" fillId="0" borderId="0" xfId="0" applyFont="1" applyAlignment="1">
      <alignment horizontal="center" wrapText="1"/>
    </xf>
    <xf numFmtId="0" fontId="38" fillId="0" borderId="0" xfId="0" applyFont="1"/>
    <xf numFmtId="0" fontId="38" fillId="0" borderId="0" xfId="0" applyFont="1" applyAlignment="1">
      <alignment horizontal="center" wrapText="1"/>
    </xf>
    <xf numFmtId="3" fontId="36" fillId="0" borderId="0" xfId="0" applyNumberFormat="1" applyFont="1"/>
    <xf numFmtId="3" fontId="33" fillId="0" borderId="0" xfId="0" applyNumberFormat="1" applyFont="1"/>
    <xf numFmtId="0" fontId="20" fillId="0" borderId="0" xfId="0" applyFont="1"/>
    <xf numFmtId="0" fontId="6" fillId="0" borderId="0" xfId="2" applyFont="1" applyAlignment="1">
      <alignment horizontal="right"/>
    </xf>
    <xf numFmtId="1" fontId="5" fillId="0" borderId="3" xfId="2" applyNumberFormat="1" applyFont="1" applyBorder="1" applyAlignment="1">
      <alignment horizontal="center" wrapText="1"/>
    </xf>
    <xf numFmtId="1" fontId="5" fillId="3" borderId="3" xfId="2" applyNumberFormat="1" applyFont="1" applyFill="1" applyBorder="1" applyAlignment="1">
      <alignment horizontal="center" wrapText="1"/>
    </xf>
    <xf numFmtId="0" fontId="6" fillId="0" borderId="104" xfId="0" applyFont="1" applyBorder="1" applyAlignment="1">
      <alignment horizontal="left"/>
    </xf>
    <xf numFmtId="0" fontId="5" fillId="0" borderId="76" xfId="0" applyFont="1" applyBorder="1"/>
    <xf numFmtId="0" fontId="6" fillId="0" borderId="66" xfId="0" applyFont="1" applyBorder="1"/>
    <xf numFmtId="1" fontId="6" fillId="0" borderId="58" xfId="0" applyNumberFormat="1" applyFont="1" applyBorder="1"/>
    <xf numFmtId="0" fontId="6" fillId="0" borderId="71" xfId="0" applyFont="1" applyBorder="1"/>
    <xf numFmtId="3" fontId="12" fillId="0" borderId="0" xfId="0" applyNumberFormat="1" applyFont="1" applyAlignment="1">
      <alignment horizontal="center" wrapText="1"/>
    </xf>
    <xf numFmtId="3" fontId="10" fillId="0" borderId="0" xfId="4" applyNumberFormat="1" applyFont="1"/>
    <xf numFmtId="1" fontId="43" fillId="0" borderId="0" xfId="0" applyNumberFormat="1" applyFont="1"/>
    <xf numFmtId="1" fontId="12" fillId="0" borderId="17" xfId="0" applyNumberFormat="1" applyFont="1" applyBorder="1"/>
    <xf numFmtId="0" fontId="15" fillId="0" borderId="30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2" xfId="0" applyFont="1" applyBorder="1"/>
    <xf numFmtId="0" fontId="12" fillId="0" borderId="2" xfId="0" applyFont="1" applyBorder="1"/>
    <xf numFmtId="0" fontId="12" fillId="0" borderId="48" xfId="0" applyFont="1" applyBorder="1"/>
    <xf numFmtId="1" fontId="12" fillId="0" borderId="66" xfId="0" applyNumberFormat="1" applyFont="1" applyBorder="1"/>
    <xf numFmtId="0" fontId="12" fillId="0" borderId="20" xfId="0" applyFont="1" applyBorder="1"/>
    <xf numFmtId="0" fontId="12" fillId="0" borderId="6" xfId="0" applyFont="1" applyBorder="1"/>
    <xf numFmtId="0" fontId="5" fillId="0" borderId="7" xfId="4" applyFont="1" applyBorder="1" applyAlignment="1">
      <alignment horizontal="left" wrapText="1"/>
    </xf>
    <xf numFmtId="3" fontId="5" fillId="0" borderId="2" xfId="0" applyNumberFormat="1" applyFont="1" applyBorder="1"/>
    <xf numFmtId="3" fontId="5" fillId="0" borderId="36" xfId="0" applyNumberFormat="1" applyFont="1" applyBorder="1"/>
    <xf numFmtId="0" fontId="5" fillId="0" borderId="29" xfId="0" applyFont="1" applyBorder="1"/>
    <xf numFmtId="3" fontId="6" fillId="0" borderId="30" xfId="0" applyNumberFormat="1" applyFont="1" applyBorder="1"/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right" wrapText="1"/>
    </xf>
    <xf numFmtId="3" fontId="5" fillId="0" borderId="48" xfId="0" applyNumberFormat="1" applyFont="1" applyBorder="1"/>
    <xf numFmtId="0" fontId="5" fillId="0" borderId="12" xfId="0" applyFont="1" applyBorder="1" applyAlignment="1">
      <alignment horizontal="left" vertical="top" wrapText="1"/>
    </xf>
    <xf numFmtId="3" fontId="5" fillId="0" borderId="32" xfId="0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3" fontId="6" fillId="3" borderId="0" xfId="0" applyNumberFormat="1" applyFont="1" applyFill="1"/>
    <xf numFmtId="0" fontId="6" fillId="0" borderId="14" xfId="0" applyFont="1" applyBorder="1"/>
    <xf numFmtId="0" fontId="6" fillId="0" borderId="15" xfId="0" applyFont="1" applyBorder="1"/>
    <xf numFmtId="3" fontId="6" fillId="0" borderId="84" xfId="0" applyNumberFormat="1" applyFont="1" applyBorder="1"/>
    <xf numFmtId="0" fontId="5" fillId="0" borderId="25" xfId="0" applyFont="1" applyBorder="1"/>
    <xf numFmtId="0" fontId="5" fillId="0" borderId="44" xfId="0" applyFont="1" applyBorder="1"/>
    <xf numFmtId="0" fontId="5" fillId="0" borderId="48" xfId="0" applyFont="1" applyBorder="1"/>
    <xf numFmtId="0" fontId="6" fillId="0" borderId="7" xfId="0" applyFont="1" applyBorder="1"/>
    <xf numFmtId="0" fontId="6" fillId="0" borderId="28" xfId="0" applyFont="1" applyBorder="1"/>
    <xf numFmtId="0" fontId="6" fillId="0" borderId="98" xfId="0" applyFont="1" applyBorder="1"/>
    <xf numFmtId="0" fontId="5" fillId="0" borderId="21" xfId="0" applyFont="1" applyBorder="1"/>
    <xf numFmtId="0" fontId="5" fillId="0" borderId="36" xfId="0" applyFont="1" applyBorder="1"/>
    <xf numFmtId="0" fontId="5" fillId="0" borderId="27" xfId="0" applyFont="1" applyBorder="1"/>
    <xf numFmtId="0" fontId="5" fillId="0" borderId="86" xfId="0" applyFont="1" applyBorder="1"/>
    <xf numFmtId="0" fontId="23" fillId="0" borderId="16" xfId="0" applyFont="1" applyBorder="1"/>
    <xf numFmtId="0" fontId="6" fillId="0" borderId="105" xfId="0" applyFont="1" applyBorder="1" applyAlignment="1">
      <alignment horizontal="left"/>
    </xf>
    <xf numFmtId="0" fontId="5" fillId="0" borderId="106" xfId="0" applyFont="1" applyBorder="1"/>
    <xf numFmtId="0" fontId="6" fillId="0" borderId="108" xfId="0" applyFont="1" applyBorder="1" applyAlignment="1">
      <alignment horizontal="left"/>
    </xf>
    <xf numFmtId="0" fontId="5" fillId="0" borderId="109" xfId="0" applyFont="1" applyBorder="1"/>
    <xf numFmtId="0" fontId="6" fillId="0" borderId="107" xfId="0" applyFont="1" applyBorder="1" applyAlignment="1">
      <alignment horizontal="right"/>
    </xf>
    <xf numFmtId="0" fontId="5" fillId="0" borderId="83" xfId="0" applyFont="1" applyBorder="1" applyAlignment="1">
      <alignment horizontal="left"/>
    </xf>
    <xf numFmtId="49" fontId="5" fillId="0" borderId="52" xfId="0" applyNumberFormat="1" applyFont="1" applyBorder="1" applyAlignment="1">
      <alignment horizontal="center"/>
    </xf>
    <xf numFmtId="49" fontId="5" fillId="0" borderId="69" xfId="0" applyNumberFormat="1" applyFont="1" applyBorder="1" applyAlignment="1">
      <alignment horizontal="center"/>
    </xf>
    <xf numFmtId="0" fontId="6" fillId="0" borderId="90" xfId="0" applyFont="1" applyBorder="1" applyAlignment="1">
      <alignment wrapText="1"/>
    </xf>
    <xf numFmtId="0" fontId="5" fillId="0" borderId="70" xfId="0" applyFont="1" applyBorder="1" applyAlignment="1">
      <alignment horizontal="center" wrapText="1"/>
    </xf>
    <xf numFmtId="0" fontId="5" fillId="0" borderId="74" xfId="0" applyFont="1" applyBorder="1" applyAlignment="1">
      <alignment horizontal="center" wrapText="1"/>
    </xf>
    <xf numFmtId="0" fontId="5" fillId="0" borderId="33" xfId="0" applyFont="1" applyBorder="1" applyAlignment="1">
      <alignment horizontal="right"/>
    </xf>
    <xf numFmtId="0" fontId="6" fillId="0" borderId="110" xfId="0" applyFont="1" applyBorder="1"/>
    <xf numFmtId="0" fontId="6" fillId="0" borderId="54" xfId="0" applyFont="1" applyBorder="1"/>
    <xf numFmtId="1" fontId="23" fillId="0" borderId="47" xfId="0" applyNumberFormat="1" applyFont="1" applyBorder="1"/>
    <xf numFmtId="1" fontId="23" fillId="0" borderId="2" xfId="0" applyNumberFormat="1" applyFont="1" applyBorder="1"/>
    <xf numFmtId="0" fontId="23" fillId="0" borderId="48" xfId="0" applyFont="1" applyBorder="1"/>
    <xf numFmtId="0" fontId="23" fillId="0" borderId="86" xfId="0" applyFont="1" applyBorder="1"/>
    <xf numFmtId="1" fontId="6" fillId="0" borderId="44" xfId="0" applyNumberFormat="1" applyFont="1" applyBorder="1"/>
    <xf numFmtId="1" fontId="23" fillId="0" borderId="48" xfId="0" applyNumberFormat="1" applyFont="1" applyBorder="1"/>
    <xf numFmtId="1" fontId="6" fillId="0" borderId="45" xfId="0" applyNumberFormat="1" applyFont="1" applyBorder="1"/>
    <xf numFmtId="0" fontId="23" fillId="0" borderId="110" xfId="0" applyFont="1" applyBorder="1"/>
    <xf numFmtId="0" fontId="5" fillId="0" borderId="0" xfId="4" applyFont="1" applyAlignment="1">
      <alignment wrapText="1"/>
    </xf>
    <xf numFmtId="3" fontId="5" fillId="0" borderId="22" xfId="0" applyNumberFormat="1" applyFont="1" applyBorder="1"/>
    <xf numFmtId="3" fontId="54" fillId="0" borderId="0" xfId="0" applyNumberFormat="1" applyFont="1" applyAlignment="1">
      <alignment horizontal="center" wrapText="1"/>
    </xf>
    <xf numFmtId="1" fontId="16" fillId="0" borderId="0" xfId="0" applyNumberFormat="1" applyFont="1"/>
    <xf numFmtId="0" fontId="5" fillId="0" borderId="107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1" fontId="5" fillId="0" borderId="0" xfId="0" applyNumberFormat="1" applyFont="1" applyAlignment="1">
      <alignment horizontal="right"/>
    </xf>
    <xf numFmtId="3" fontId="54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46" fillId="3" borderId="1" xfId="0" applyFont="1" applyFill="1" applyBorder="1" applyAlignment="1">
      <alignment wrapText="1"/>
    </xf>
    <xf numFmtId="0" fontId="48" fillId="3" borderId="1" xfId="0" applyFont="1" applyFill="1" applyBorder="1" applyAlignment="1">
      <alignment vertical="center"/>
    </xf>
    <xf numFmtId="0" fontId="47" fillId="3" borderId="1" xfId="0" applyFont="1" applyFill="1" applyBorder="1" applyAlignment="1">
      <alignment wrapText="1"/>
    </xf>
    <xf numFmtId="0" fontId="48" fillId="3" borderId="1" xfId="0" applyFont="1" applyFill="1" applyBorder="1" applyAlignment="1">
      <alignment wrapText="1"/>
    </xf>
    <xf numFmtId="3" fontId="6" fillId="0" borderId="47" xfId="0" applyNumberFormat="1" applyFont="1" applyBorder="1"/>
    <xf numFmtId="3" fontId="6" fillId="0" borderId="55" xfId="0" applyNumberFormat="1" applyFont="1" applyBorder="1"/>
    <xf numFmtId="3" fontId="6" fillId="0" borderId="20" xfId="0" applyNumberFormat="1" applyFont="1" applyBorder="1"/>
    <xf numFmtId="3" fontId="5" fillId="0" borderId="20" xfId="0" applyNumberFormat="1" applyFont="1" applyBorder="1"/>
    <xf numFmtId="3" fontId="5" fillId="0" borderId="66" xfId="0" applyNumberFormat="1" applyFont="1" applyBorder="1"/>
    <xf numFmtId="3" fontId="5" fillId="0" borderId="16" xfId="0" applyNumberFormat="1" applyFont="1" applyBorder="1"/>
    <xf numFmtId="3" fontId="5" fillId="0" borderId="55" xfId="0" applyNumberFormat="1" applyFont="1" applyBorder="1"/>
    <xf numFmtId="3" fontId="6" fillId="0" borderId="17" xfId="0" applyNumberFormat="1" applyFont="1" applyBorder="1"/>
    <xf numFmtId="0" fontId="10" fillId="0" borderId="8" xfId="2" applyFont="1" applyBorder="1" applyAlignment="1">
      <alignment horizontal="center" wrapText="1"/>
    </xf>
    <xf numFmtId="3" fontId="5" fillId="0" borderId="33" xfId="2" applyNumberFormat="1" applyFont="1" applyBorder="1" applyAlignment="1">
      <alignment wrapText="1"/>
    </xf>
    <xf numFmtId="0" fontId="55" fillId="0" borderId="1" xfId="0" applyFont="1" applyBorder="1" applyAlignment="1">
      <alignment wrapText="1"/>
    </xf>
    <xf numFmtId="0" fontId="55" fillId="0" borderId="4" xfId="0" applyFont="1" applyBorder="1" applyAlignment="1">
      <alignment wrapText="1"/>
    </xf>
    <xf numFmtId="0" fontId="40" fillId="0" borderId="1" xfId="0" applyFont="1" applyBorder="1"/>
    <xf numFmtId="4" fontId="55" fillId="0" borderId="33" xfId="0" applyNumberFormat="1" applyFont="1" applyBorder="1" applyAlignment="1">
      <alignment wrapText="1"/>
    </xf>
    <xf numFmtId="3" fontId="55" fillId="0" borderId="9" xfId="0" applyNumberFormat="1" applyFont="1" applyBorder="1"/>
    <xf numFmtId="3" fontId="10" fillId="0" borderId="20" xfId="0" applyNumberFormat="1" applyFont="1" applyBorder="1"/>
    <xf numFmtId="0" fontId="10" fillId="0" borderId="69" xfId="0" applyFont="1" applyBorder="1" applyAlignment="1">
      <alignment horizontal="right"/>
    </xf>
    <xf numFmtId="49" fontId="5" fillId="0" borderId="57" xfId="2" applyNumberFormat="1" applyFont="1" applyBorder="1" applyAlignment="1">
      <alignment horizontal="center"/>
    </xf>
    <xf numFmtId="49" fontId="5" fillId="0" borderId="85" xfId="2" applyNumberFormat="1" applyFont="1" applyBorder="1" applyAlignment="1">
      <alignment horizontal="center"/>
    </xf>
    <xf numFmtId="1" fontId="12" fillId="0" borderId="0" xfId="0" applyNumberFormat="1" applyFont="1"/>
    <xf numFmtId="3" fontId="5" fillId="3" borderId="2" xfId="0" applyNumberFormat="1" applyFont="1" applyFill="1" applyBorder="1" applyAlignment="1">
      <alignment horizontal="right" wrapText="1"/>
    </xf>
    <xf numFmtId="3" fontId="5" fillId="3" borderId="2" xfId="0" applyNumberFormat="1" applyFont="1" applyFill="1" applyBorder="1"/>
    <xf numFmtId="0" fontId="5" fillId="0" borderId="6" xfId="0" applyFont="1" applyBorder="1"/>
    <xf numFmtId="0" fontId="37" fillId="0" borderId="0" xfId="0" applyFont="1" applyAlignment="1">
      <alignment horizontal="center" wrapText="1"/>
    </xf>
    <xf numFmtId="3" fontId="37" fillId="0" borderId="0" xfId="0" applyNumberFormat="1" applyFont="1"/>
    <xf numFmtId="0" fontId="40" fillId="0" borderId="65" xfId="0" applyFont="1" applyBorder="1" applyAlignment="1">
      <alignment wrapText="1"/>
    </xf>
    <xf numFmtId="3" fontId="38" fillId="0" borderId="0" xfId="0" applyNumberFormat="1" applyFont="1"/>
    <xf numFmtId="3" fontId="56" fillId="0" borderId="0" xfId="0" applyNumberFormat="1" applyFont="1"/>
    <xf numFmtId="0" fontId="6" fillId="3" borderId="6" xfId="0" applyFont="1" applyFill="1" applyBorder="1"/>
    <xf numFmtId="0" fontId="16" fillId="0" borderId="0" xfId="4" applyFont="1" applyAlignment="1">
      <alignment horizontal="right"/>
    </xf>
    <xf numFmtId="3" fontId="56" fillId="0" borderId="0" xfId="0" applyNumberFormat="1" applyFont="1" applyAlignment="1">
      <alignment horizontal="center" wrapText="1"/>
    </xf>
    <xf numFmtId="3" fontId="39" fillId="0" borderId="0" xfId="0" applyNumberFormat="1" applyFont="1"/>
    <xf numFmtId="0" fontId="6" fillId="0" borderId="91" xfId="0" applyFont="1" applyBorder="1"/>
    <xf numFmtId="0" fontId="6" fillId="0" borderId="73" xfId="0" applyFont="1" applyBorder="1"/>
    <xf numFmtId="1" fontId="6" fillId="0" borderId="44" xfId="0" applyNumberFormat="1" applyFont="1" applyBorder="1" applyAlignment="1">
      <alignment horizontal="right"/>
    </xf>
    <xf numFmtId="0" fontId="6" fillId="0" borderId="73" xfId="0" applyFont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1" fontId="6" fillId="0" borderId="47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47" xfId="0" applyNumberFormat="1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47" xfId="0" applyFont="1" applyBorder="1" applyAlignment="1">
      <alignment horizontal="right"/>
    </xf>
    <xf numFmtId="0" fontId="6" fillId="0" borderId="47" xfId="0" applyFont="1" applyBorder="1" applyAlignment="1">
      <alignment horizontal="left"/>
    </xf>
    <xf numFmtId="0" fontId="39" fillId="0" borderId="0" xfId="0" applyFont="1" applyAlignment="1">
      <alignment horizontal="right" wrapText="1"/>
    </xf>
    <xf numFmtId="1" fontId="46" fillId="0" borderId="4" xfId="0" applyNumberFormat="1" applyFont="1" applyBorder="1" applyAlignment="1">
      <alignment horizontal="left" vertical="center" wrapText="1"/>
    </xf>
    <xf numFmtId="3" fontId="10" fillId="3" borderId="5" xfId="0" applyNumberFormat="1" applyFont="1" applyFill="1" applyBorder="1"/>
    <xf numFmtId="0" fontId="23" fillId="3" borderId="20" xfId="0" applyFont="1" applyFill="1" applyBorder="1"/>
    <xf numFmtId="1" fontId="6" fillId="3" borderId="6" xfId="0" applyNumberFormat="1" applyFont="1" applyFill="1" applyBorder="1"/>
    <xf numFmtId="3" fontId="5" fillId="0" borderId="6" xfId="0" applyNumberFormat="1" applyFont="1" applyBorder="1"/>
    <xf numFmtId="0" fontId="5" fillId="0" borderId="7" xfId="0" applyFont="1" applyBorder="1" applyAlignment="1">
      <alignment horizontal="left" vertical="center" wrapText="1"/>
    </xf>
    <xf numFmtId="3" fontId="5" fillId="0" borderId="77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6" fillId="3" borderId="71" xfId="0" applyFont="1" applyFill="1" applyBorder="1"/>
    <xf numFmtId="1" fontId="6" fillId="3" borderId="47" xfId="0" applyNumberFormat="1" applyFont="1" applyFill="1" applyBorder="1"/>
    <xf numFmtId="0" fontId="16" fillId="0" borderId="0" xfId="2" applyFont="1"/>
    <xf numFmtId="49" fontId="16" fillId="0" borderId="0" xfId="2" applyNumberFormat="1" applyFont="1"/>
    <xf numFmtId="3" fontId="16" fillId="0" borderId="0" xfId="2" applyNumberFormat="1" applyFont="1"/>
    <xf numFmtId="0" fontId="23" fillId="0" borderId="0" xfId="2" applyFont="1"/>
    <xf numFmtId="49" fontId="16" fillId="0" borderId="0" xfId="2" applyNumberFormat="1" applyFont="1" applyAlignment="1">
      <alignment horizontal="center"/>
    </xf>
    <xf numFmtId="0" fontId="16" fillId="0" borderId="25" xfId="2" applyFont="1" applyBorder="1" applyAlignment="1">
      <alignment horizontal="center"/>
    </xf>
    <xf numFmtId="49" fontId="16" fillId="0" borderId="3" xfId="2" applyNumberFormat="1" applyFont="1" applyBorder="1" applyAlignment="1">
      <alignment horizontal="center"/>
    </xf>
    <xf numFmtId="1" fontId="23" fillId="0" borderId="68" xfId="2" applyNumberFormat="1" applyFont="1" applyBorder="1" applyAlignment="1">
      <alignment horizontal="center" wrapText="1"/>
    </xf>
    <xf numFmtId="0" fontId="16" fillId="0" borderId="57" xfId="2" applyFont="1" applyBorder="1" applyAlignment="1">
      <alignment horizontal="center" wrapText="1"/>
    </xf>
    <xf numFmtId="0" fontId="16" fillId="0" borderId="3" xfId="2" applyFont="1" applyBorder="1" applyAlignment="1">
      <alignment horizontal="center" wrapText="1"/>
    </xf>
    <xf numFmtId="0" fontId="23" fillId="0" borderId="8" xfId="2" applyFont="1" applyBorder="1"/>
    <xf numFmtId="0" fontId="23" fillId="0" borderId="3" xfId="2" applyFont="1" applyBorder="1"/>
    <xf numFmtId="0" fontId="16" fillId="0" borderId="30" xfId="2" applyFont="1" applyBorder="1" applyAlignment="1">
      <alignment horizontal="center" wrapText="1"/>
    </xf>
    <xf numFmtId="0" fontId="23" fillId="0" borderId="12" xfId="2" applyFont="1" applyBorder="1"/>
    <xf numFmtId="0" fontId="23" fillId="0" borderId="4" xfId="2" applyFont="1" applyBorder="1"/>
    <xf numFmtId="1" fontId="23" fillId="0" borderId="32" xfId="2" applyNumberFormat="1" applyFont="1" applyBorder="1"/>
    <xf numFmtId="1" fontId="16" fillId="0" borderId="4" xfId="2" applyNumberFormat="1" applyFont="1" applyBorder="1"/>
    <xf numFmtId="0" fontId="16" fillId="0" borderId="7" xfId="2" applyFont="1" applyBorder="1"/>
    <xf numFmtId="0" fontId="16" fillId="0" borderId="1" xfId="2" applyFont="1" applyBorder="1"/>
    <xf numFmtId="1" fontId="23" fillId="0" borderId="2" xfId="2" applyNumberFormat="1" applyFont="1" applyBorder="1"/>
    <xf numFmtId="1" fontId="16" fillId="3" borderId="1" xfId="2" applyNumberFormat="1" applyFont="1" applyFill="1" applyBorder="1"/>
    <xf numFmtId="1" fontId="16" fillId="0" borderId="1" xfId="2" applyNumberFormat="1" applyFont="1" applyBorder="1"/>
    <xf numFmtId="0" fontId="23" fillId="0" borderId="7" xfId="2" applyFont="1" applyBorder="1"/>
    <xf numFmtId="0" fontId="23" fillId="0" borderId="1" xfId="2" applyFont="1" applyBorder="1"/>
    <xf numFmtId="1" fontId="16" fillId="0" borderId="10" xfId="2" applyNumberFormat="1" applyFont="1" applyBorder="1"/>
    <xf numFmtId="49" fontId="16" fillId="0" borderId="7" xfId="2" applyNumberFormat="1" applyFont="1" applyBorder="1"/>
    <xf numFmtId="1" fontId="16" fillId="0" borderId="2" xfId="2" applyNumberFormat="1" applyFont="1" applyBorder="1"/>
    <xf numFmtId="0" fontId="16" fillId="0" borderId="21" xfId="2" applyFont="1" applyBorder="1"/>
    <xf numFmtId="1" fontId="16" fillId="0" borderId="48" xfId="2" applyNumberFormat="1" applyFont="1" applyBorder="1"/>
    <xf numFmtId="1" fontId="16" fillId="0" borderId="70" xfId="2" applyNumberFormat="1" applyFont="1" applyBorder="1"/>
    <xf numFmtId="1" fontId="16" fillId="0" borderId="31" xfId="2" applyNumberFormat="1" applyFont="1" applyBorder="1"/>
    <xf numFmtId="0" fontId="16" fillId="0" borderId="29" xfId="2" applyFont="1" applyBorder="1" applyAlignment="1">
      <alignment horizontal="right"/>
    </xf>
    <xf numFmtId="1" fontId="6" fillId="0" borderId="30" xfId="2" applyNumberFormat="1" applyFont="1" applyBorder="1"/>
    <xf numFmtId="1" fontId="6" fillId="0" borderId="66" xfId="2" applyNumberFormat="1" applyFont="1" applyBorder="1"/>
    <xf numFmtId="49" fontId="6" fillId="0" borderId="0" xfId="2" applyNumberFormat="1" applyFont="1"/>
    <xf numFmtId="1" fontId="41" fillId="0" borderId="0" xfId="2" applyNumberFormat="1" applyFont="1"/>
    <xf numFmtId="1" fontId="6" fillId="0" borderId="0" xfId="2" applyNumberFormat="1" applyFont="1"/>
    <xf numFmtId="1" fontId="16" fillId="0" borderId="0" xfId="2" applyNumberFormat="1" applyFont="1"/>
    <xf numFmtId="1" fontId="16" fillId="0" borderId="3" xfId="2" applyNumberFormat="1" applyFont="1" applyBorder="1" applyAlignment="1">
      <alignment horizontal="center" wrapText="1"/>
    </xf>
    <xf numFmtId="0" fontId="16" fillId="0" borderId="12" xfId="2" applyFont="1" applyBorder="1" applyAlignment="1">
      <alignment horizontal="right"/>
    </xf>
    <xf numFmtId="0" fontId="16" fillId="0" borderId="4" xfId="2" applyFont="1" applyBorder="1"/>
    <xf numFmtId="0" fontId="16" fillId="0" borderId="7" xfId="2" applyFont="1" applyBorder="1" applyAlignment="1">
      <alignment horizontal="right"/>
    </xf>
    <xf numFmtId="0" fontId="16" fillId="0" borderId="100" xfId="2" applyFont="1" applyBorder="1" applyAlignment="1">
      <alignment horizontal="right"/>
    </xf>
    <xf numFmtId="0" fontId="16" fillId="0" borderId="70" xfId="2" applyFont="1" applyBorder="1"/>
    <xf numFmtId="1" fontId="23" fillId="0" borderId="66" xfId="2" applyNumberFormat="1" applyFont="1" applyBorder="1"/>
    <xf numFmtId="1" fontId="23" fillId="0" borderId="70" xfId="2" applyNumberFormat="1" applyFont="1" applyBorder="1"/>
    <xf numFmtId="1" fontId="23" fillId="0" borderId="4" xfId="2" applyNumberFormat="1" applyFont="1" applyBorder="1"/>
    <xf numFmtId="1" fontId="23" fillId="0" borderId="0" xfId="2" applyNumberFormat="1" applyFont="1"/>
    <xf numFmtId="1" fontId="16" fillId="0" borderId="0" xfId="2" applyNumberFormat="1" applyFont="1" applyAlignment="1">
      <alignment horizontal="center"/>
    </xf>
    <xf numFmtId="3" fontId="23" fillId="0" borderId="0" xfId="2" applyNumberFormat="1" applyFont="1"/>
    <xf numFmtId="49" fontId="23" fillId="0" borderId="0" xfId="2" applyNumberFormat="1" applyFont="1"/>
    <xf numFmtId="0" fontId="31" fillId="0" borderId="0" xfId="0" applyFont="1" applyAlignment="1">
      <alignment horizontal="right"/>
    </xf>
    <xf numFmtId="49" fontId="31" fillId="0" borderId="0" xfId="2" applyNumberFormat="1" applyFont="1" applyAlignment="1">
      <alignment horizontal="right"/>
    </xf>
    <xf numFmtId="3" fontId="31" fillId="0" borderId="0" xfId="2" applyNumberFormat="1" applyFont="1"/>
    <xf numFmtId="0" fontId="53" fillId="0" borderId="0" xfId="2" applyFont="1"/>
    <xf numFmtId="0" fontId="31" fillId="0" borderId="0" xfId="2" applyFont="1"/>
    <xf numFmtId="0" fontId="53" fillId="0" borderId="57" xfId="2" applyFont="1" applyBorder="1" applyAlignment="1">
      <alignment horizontal="center" wrapText="1"/>
    </xf>
    <xf numFmtId="0" fontId="31" fillId="0" borderId="31" xfId="2" applyFont="1" applyBorder="1" applyAlignment="1">
      <alignment horizontal="right"/>
    </xf>
    <xf numFmtId="0" fontId="31" fillId="0" borderId="33" xfId="2" applyFont="1" applyBorder="1"/>
    <xf numFmtId="0" fontId="31" fillId="0" borderId="35" xfId="2" applyFont="1" applyBorder="1"/>
    <xf numFmtId="0" fontId="31" fillId="0" borderId="29" xfId="2" applyFont="1" applyBorder="1" applyAlignment="1">
      <alignment horizontal="right"/>
    </xf>
    <xf numFmtId="0" fontId="31" fillId="0" borderId="76" xfId="2" applyFont="1" applyBorder="1" applyAlignment="1">
      <alignment horizontal="right"/>
    </xf>
    <xf numFmtId="0" fontId="58" fillId="0" borderId="0" xfId="2" applyFont="1" applyAlignment="1">
      <alignment horizontal="right"/>
    </xf>
    <xf numFmtId="0" fontId="31" fillId="0" borderId="31" xfId="2" applyFont="1" applyBorder="1"/>
    <xf numFmtId="0" fontId="31" fillId="0" borderId="33" xfId="2" applyFont="1" applyBorder="1" applyAlignment="1">
      <alignment wrapText="1"/>
    </xf>
    <xf numFmtId="0" fontId="59" fillId="0" borderId="99" xfId="2" applyFont="1" applyBorder="1"/>
    <xf numFmtId="0" fontId="53" fillId="0" borderId="4" xfId="2" applyFont="1" applyBorder="1" applyAlignment="1">
      <alignment horizontal="right"/>
    </xf>
    <xf numFmtId="0" fontId="31" fillId="0" borderId="0" xfId="2" applyFont="1" applyAlignment="1">
      <alignment wrapText="1"/>
    </xf>
    <xf numFmtId="3" fontId="53" fillId="0" borderId="0" xfId="2" applyNumberFormat="1" applyFont="1"/>
    <xf numFmtId="1" fontId="23" fillId="0" borderId="1" xfId="2" applyNumberFormat="1" applyFont="1" applyBorder="1"/>
    <xf numFmtId="0" fontId="16" fillId="0" borderId="111" xfId="2" applyFont="1" applyBorder="1" applyAlignment="1">
      <alignment horizontal="center" wrapText="1"/>
    </xf>
    <xf numFmtId="49" fontId="16" fillId="3" borderId="3" xfId="4" applyNumberFormat="1" applyFont="1" applyFill="1" applyBorder="1" applyAlignment="1">
      <alignment horizontal="center"/>
    </xf>
    <xf numFmtId="0" fontId="45" fillId="0" borderId="111" xfId="0" applyFont="1" applyBorder="1" applyAlignment="1">
      <alignment horizontal="center" wrapText="1"/>
    </xf>
    <xf numFmtId="0" fontId="16" fillId="0" borderId="112" xfId="2" applyFont="1" applyBorder="1" applyAlignment="1">
      <alignment horizontal="center" wrapText="1"/>
    </xf>
    <xf numFmtId="0" fontId="16" fillId="0" borderId="111" xfId="0" applyFont="1" applyBorder="1" applyAlignment="1">
      <alignment horizontal="center" wrapText="1"/>
    </xf>
    <xf numFmtId="0" fontId="47" fillId="0" borderId="111" xfId="0" applyFont="1" applyBorder="1" applyAlignment="1">
      <alignment horizontal="center" wrapText="1"/>
    </xf>
    <xf numFmtId="0" fontId="47" fillId="0" borderId="113" xfId="0" applyFont="1" applyBorder="1" applyAlignment="1">
      <alignment horizontal="center" wrapText="1"/>
    </xf>
    <xf numFmtId="0" fontId="10" fillId="0" borderId="30" xfId="2" applyFont="1" applyBorder="1" applyAlignment="1">
      <alignment horizontal="center" wrapText="1"/>
    </xf>
    <xf numFmtId="3" fontId="5" fillId="0" borderId="31" xfId="2" applyNumberFormat="1" applyFont="1" applyBorder="1" applyAlignment="1">
      <alignment wrapText="1"/>
    </xf>
    <xf numFmtId="3" fontId="6" fillId="0" borderId="55" xfId="2" applyNumberFormat="1" applyFont="1" applyBorder="1"/>
    <xf numFmtId="49" fontId="23" fillId="0" borderId="19" xfId="2" applyNumberFormat="1" applyFont="1" applyBorder="1" applyAlignment="1">
      <alignment horizontal="center"/>
    </xf>
    <xf numFmtId="49" fontId="23" fillId="0" borderId="3" xfId="2" applyNumberFormat="1" applyFont="1" applyBorder="1" applyAlignment="1">
      <alignment horizontal="center"/>
    </xf>
    <xf numFmtId="0" fontId="6" fillId="0" borderId="92" xfId="2" applyFont="1" applyBorder="1" applyAlignment="1">
      <alignment horizontal="center"/>
    </xf>
    <xf numFmtId="49" fontId="5" fillId="0" borderId="3" xfId="2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10" fillId="0" borderId="19" xfId="2" applyFont="1" applyBorder="1"/>
    <xf numFmtId="3" fontId="6" fillId="0" borderId="74" xfId="2" applyNumberFormat="1" applyFont="1" applyBorder="1"/>
    <xf numFmtId="3" fontId="6" fillId="0" borderId="0" xfId="2" applyNumberFormat="1" applyFont="1"/>
    <xf numFmtId="0" fontId="6" fillId="0" borderId="54" xfId="2" applyFont="1" applyBorder="1"/>
    <xf numFmtId="3" fontId="21" fillId="0" borderId="52" xfId="2" applyNumberFormat="1" applyFont="1" applyBorder="1"/>
    <xf numFmtId="0" fontId="6" fillId="0" borderId="100" xfId="2" applyFont="1" applyBorder="1"/>
    <xf numFmtId="3" fontId="5" fillId="0" borderId="24" xfId="2" applyNumberFormat="1" applyFont="1" applyBorder="1"/>
    <xf numFmtId="3" fontId="5" fillId="3" borderId="1" xfId="2" applyNumberFormat="1" applyFont="1" applyFill="1" applyBorder="1"/>
    <xf numFmtId="0" fontId="10" fillId="0" borderId="29" xfId="2" applyFont="1" applyBorder="1"/>
    <xf numFmtId="0" fontId="6" fillId="0" borderId="53" xfId="2" applyFont="1" applyBorder="1"/>
    <xf numFmtId="0" fontId="6" fillId="0" borderId="99" xfId="2" applyFont="1" applyBorder="1"/>
    <xf numFmtId="0" fontId="5" fillId="0" borderId="91" xfId="2" applyFont="1" applyBorder="1" applyAlignment="1">
      <alignment horizontal="right"/>
    </xf>
    <xf numFmtId="0" fontId="5" fillId="0" borderId="9" xfId="2" applyFont="1" applyBorder="1" applyAlignment="1">
      <alignment wrapText="1"/>
    </xf>
    <xf numFmtId="0" fontId="5" fillId="0" borderId="27" xfId="2" applyFont="1" applyBorder="1" applyAlignment="1">
      <alignment wrapText="1"/>
    </xf>
    <xf numFmtId="0" fontId="6" fillId="0" borderId="54" xfId="2" applyFont="1" applyBorder="1" applyAlignment="1">
      <alignment horizontal="right"/>
    </xf>
    <xf numFmtId="3" fontId="6" fillId="0" borderId="69" xfId="2" applyNumberFormat="1" applyFont="1" applyBorder="1"/>
    <xf numFmtId="0" fontId="6" fillId="0" borderId="100" xfId="2" applyFont="1" applyBorder="1" applyAlignment="1">
      <alignment horizontal="right"/>
    </xf>
    <xf numFmtId="0" fontId="10" fillId="0" borderId="3" xfId="2" applyFont="1" applyBorder="1" applyAlignment="1">
      <alignment horizontal="center" wrapText="1"/>
    </xf>
    <xf numFmtId="3" fontId="10" fillId="0" borderId="13" xfId="2" applyNumberFormat="1" applyFont="1" applyBorder="1" applyAlignment="1">
      <alignment horizontal="center" wrapText="1"/>
    </xf>
    <xf numFmtId="3" fontId="6" fillId="0" borderId="44" xfId="2" applyNumberFormat="1" applyFont="1" applyBorder="1"/>
    <xf numFmtId="3" fontId="6" fillId="0" borderId="2" xfId="2" applyNumberFormat="1" applyFont="1" applyBorder="1"/>
    <xf numFmtId="0" fontId="34" fillId="0" borderId="9" xfId="2" applyFont="1" applyBorder="1"/>
    <xf numFmtId="0" fontId="34" fillId="0" borderId="114" xfId="2" applyFont="1" applyBorder="1"/>
    <xf numFmtId="3" fontId="6" fillId="0" borderId="48" xfId="2" applyNumberFormat="1" applyFont="1" applyBorder="1"/>
    <xf numFmtId="3" fontId="6" fillId="0" borderId="15" xfId="2" applyNumberFormat="1" applyFont="1" applyBorder="1"/>
    <xf numFmtId="3" fontId="6" fillId="0" borderId="32" xfId="2" applyNumberFormat="1" applyFont="1" applyBorder="1" applyAlignment="1">
      <alignment wrapText="1"/>
    </xf>
    <xf numFmtId="3" fontId="6" fillId="3" borderId="4" xfId="2" applyNumberFormat="1" applyFont="1" applyFill="1" applyBorder="1" applyAlignment="1">
      <alignment wrapText="1"/>
    </xf>
    <xf numFmtId="3" fontId="5" fillId="3" borderId="52" xfId="2" applyNumberFormat="1" applyFont="1" applyFill="1" applyBorder="1" applyAlignment="1">
      <alignment wrapText="1"/>
    </xf>
    <xf numFmtId="3" fontId="5" fillId="3" borderId="4" xfId="2" applyNumberFormat="1" applyFont="1" applyFill="1" applyBorder="1" applyAlignment="1">
      <alignment wrapText="1"/>
    </xf>
    <xf numFmtId="3" fontId="7" fillId="3" borderId="53" xfId="2" applyNumberFormat="1" applyFont="1" applyFill="1" applyBorder="1" applyAlignment="1">
      <alignment wrapText="1"/>
    </xf>
    <xf numFmtId="3" fontId="7" fillId="3" borderId="31" xfId="2" applyNumberFormat="1" applyFont="1" applyFill="1" applyBorder="1" applyAlignment="1">
      <alignment wrapText="1"/>
    </xf>
    <xf numFmtId="3" fontId="5" fillId="3" borderId="52" xfId="2" applyNumberFormat="1" applyFont="1" applyFill="1" applyBorder="1"/>
    <xf numFmtId="3" fontId="7" fillId="3" borderId="52" xfId="2" applyNumberFormat="1" applyFont="1" applyFill="1" applyBorder="1" applyAlignment="1">
      <alignment wrapText="1"/>
    </xf>
    <xf numFmtId="3" fontId="6" fillId="0" borderId="2" xfId="2" applyNumberFormat="1" applyFont="1" applyBorder="1" applyAlignment="1">
      <alignment wrapText="1"/>
    </xf>
    <xf numFmtId="3" fontId="17" fillId="0" borderId="21" xfId="2" applyNumberFormat="1" applyFont="1" applyBorder="1" applyAlignment="1">
      <alignment wrapText="1"/>
    </xf>
    <xf numFmtId="3" fontId="5" fillId="3" borderId="35" xfId="2" applyNumberFormat="1" applyFont="1" applyFill="1" applyBorder="1" applyAlignment="1">
      <alignment wrapText="1"/>
    </xf>
    <xf numFmtId="3" fontId="5" fillId="0" borderId="35" xfId="2" applyNumberFormat="1" applyFont="1" applyBorder="1" applyAlignment="1">
      <alignment wrapText="1"/>
    </xf>
    <xf numFmtId="3" fontId="6" fillId="0" borderId="30" xfId="2" applyNumberFormat="1" applyFont="1" applyBorder="1" applyAlignment="1">
      <alignment wrapText="1"/>
    </xf>
    <xf numFmtId="3" fontId="17" fillId="0" borderId="3" xfId="2" applyNumberFormat="1" applyFont="1" applyBorder="1" applyAlignment="1">
      <alignment wrapText="1"/>
    </xf>
    <xf numFmtId="3" fontId="17" fillId="3" borderId="29" xfId="2" applyNumberFormat="1" applyFont="1" applyFill="1" applyBorder="1" applyAlignment="1">
      <alignment wrapText="1"/>
    </xf>
    <xf numFmtId="3" fontId="21" fillId="0" borderId="3" xfId="2" applyNumberFormat="1" applyFont="1" applyBorder="1" applyAlignment="1">
      <alignment wrapText="1"/>
    </xf>
    <xf numFmtId="3" fontId="21" fillId="3" borderId="29" xfId="2" applyNumberFormat="1" applyFont="1" applyFill="1" applyBorder="1" applyAlignment="1">
      <alignment wrapText="1"/>
    </xf>
    <xf numFmtId="3" fontId="6" fillId="0" borderId="0" xfId="2" applyNumberFormat="1" applyFont="1" applyAlignment="1">
      <alignment wrapText="1"/>
    </xf>
    <xf numFmtId="3" fontId="21" fillId="0" borderId="0" xfId="2" applyNumberFormat="1" applyFont="1" applyAlignment="1">
      <alignment horizontal="center" wrapText="1"/>
    </xf>
    <xf numFmtId="3" fontId="16" fillId="0" borderId="0" xfId="4" applyNumberFormat="1" applyFont="1" applyAlignment="1">
      <alignment horizontal="center"/>
    </xf>
    <xf numFmtId="1" fontId="6" fillId="0" borderId="0" xfId="2" applyNumberFormat="1" applyFont="1" applyAlignment="1">
      <alignment wrapText="1"/>
    </xf>
    <xf numFmtId="1" fontId="21" fillId="0" borderId="0" xfId="2" applyNumberFormat="1" applyFont="1" applyAlignment="1">
      <alignment horizontal="center" wrapText="1"/>
    </xf>
    <xf numFmtId="0" fontId="5" fillId="0" borderId="0" xfId="2" applyFont="1" applyAlignment="1">
      <alignment vertical="center"/>
    </xf>
    <xf numFmtId="1" fontId="5" fillId="0" borderId="0" xfId="2" applyNumberFormat="1" applyFont="1" applyAlignment="1">
      <alignment horizontal="center" vertical="center" wrapText="1"/>
    </xf>
    <xf numFmtId="1" fontId="5" fillId="0" borderId="0" xfId="2" applyNumberFormat="1" applyFont="1" applyAlignment="1">
      <alignment vertical="center" wrapText="1"/>
    </xf>
    <xf numFmtId="1" fontId="5" fillId="0" borderId="0" xfId="2" applyNumberFormat="1" applyFont="1" applyAlignment="1">
      <alignment vertical="center"/>
    </xf>
    <xf numFmtId="0" fontId="16" fillId="0" borderId="0" xfId="4" applyFont="1" applyAlignment="1">
      <alignment vertical="center"/>
    </xf>
    <xf numFmtId="0" fontId="6" fillId="3" borderId="2" xfId="0" applyFont="1" applyFill="1" applyBorder="1"/>
    <xf numFmtId="0" fontId="46" fillId="3" borderId="1" xfId="0" applyFont="1" applyFill="1" applyBorder="1" applyAlignment="1">
      <alignment horizontal="right" wrapText="1"/>
    </xf>
    <xf numFmtId="0" fontId="43" fillId="3" borderId="1" xfId="0" applyFont="1" applyFill="1" applyBorder="1" applyAlignment="1">
      <alignment wrapText="1"/>
    </xf>
    <xf numFmtId="0" fontId="46" fillId="3" borderId="1" xfId="0" applyFont="1" applyFill="1" applyBorder="1"/>
    <xf numFmtId="0" fontId="46" fillId="3" borderId="0" xfId="0" applyFont="1" applyFill="1"/>
    <xf numFmtId="3" fontId="6" fillId="0" borderId="2" xfId="0" applyNumberFormat="1" applyFont="1" applyBorder="1" applyAlignment="1">
      <alignment horizontal="right" wrapText="1"/>
    </xf>
    <xf numFmtId="0" fontId="5" fillId="3" borderId="0" xfId="0" applyFont="1" applyFill="1" applyAlignment="1">
      <alignment horizontal="center" wrapText="1"/>
    </xf>
    <xf numFmtId="0" fontId="6" fillId="3" borderId="47" xfId="0" applyFont="1" applyFill="1" applyBorder="1"/>
    <xf numFmtId="0" fontId="6" fillId="3" borderId="86" xfId="0" applyFont="1" applyFill="1" applyBorder="1"/>
    <xf numFmtId="0" fontId="6" fillId="3" borderId="0" xfId="0" applyFont="1" applyFill="1"/>
    <xf numFmtId="1" fontId="6" fillId="3" borderId="0" xfId="0" applyNumberFormat="1" applyFont="1" applyFill="1"/>
    <xf numFmtId="1" fontId="6" fillId="3" borderId="2" xfId="0" applyNumberFormat="1" applyFont="1" applyFill="1" applyBorder="1"/>
    <xf numFmtId="0" fontId="6" fillId="3" borderId="55" xfId="0" applyFont="1" applyFill="1" applyBorder="1"/>
    <xf numFmtId="0" fontId="16" fillId="0" borderId="21" xfId="2" applyFont="1" applyBorder="1" applyAlignment="1">
      <alignment horizontal="center" wrapText="1"/>
    </xf>
    <xf numFmtId="0" fontId="16" fillId="0" borderId="21" xfId="6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16" fillId="0" borderId="1" xfId="0" applyNumberFormat="1" applyFont="1" applyBorder="1" applyAlignment="1">
      <alignment horizontal="center" wrapText="1"/>
    </xf>
    <xf numFmtId="0" fontId="20" fillId="0" borderId="21" xfId="4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5" fillId="0" borderId="41" xfId="0" applyFont="1" applyBorder="1" applyAlignment="1">
      <alignment horizontal="center" wrapText="1"/>
    </xf>
    <xf numFmtId="3" fontId="23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4" fillId="0" borderId="116" xfId="0" applyFont="1" applyBorder="1" applyAlignment="1">
      <alignment horizontal="center"/>
    </xf>
    <xf numFmtId="0" fontId="5" fillId="0" borderId="117" xfId="0" applyFont="1" applyBorder="1"/>
    <xf numFmtId="0" fontId="6" fillId="0" borderId="118" xfId="0" applyFont="1" applyBorder="1" applyAlignment="1">
      <alignment horizontal="right"/>
    </xf>
    <xf numFmtId="0" fontId="6" fillId="0" borderId="119" xfId="0" applyFont="1" applyBorder="1" applyAlignment="1">
      <alignment horizontal="left"/>
    </xf>
    <xf numFmtId="0" fontId="5" fillId="0" borderId="120" xfId="0" applyFont="1" applyBorder="1"/>
    <xf numFmtId="0" fontId="5" fillId="0" borderId="121" xfId="0" applyFont="1" applyBorder="1" applyAlignment="1">
      <alignment wrapText="1"/>
    </xf>
    <xf numFmtId="0" fontId="5" fillId="0" borderId="121" xfId="0" applyFont="1" applyBorder="1"/>
    <xf numFmtId="0" fontId="5" fillId="0" borderId="5" xfId="0" applyFont="1" applyBorder="1" applyAlignment="1">
      <alignment wrapText="1"/>
    </xf>
    <xf numFmtId="0" fontId="6" fillId="0" borderId="122" xfId="0" applyFont="1" applyBorder="1" applyAlignment="1">
      <alignment horizontal="left"/>
    </xf>
    <xf numFmtId="0" fontId="5" fillId="0" borderId="123" xfId="0" applyFont="1" applyBorder="1"/>
    <xf numFmtId="0" fontId="5" fillId="0" borderId="71" xfId="0" applyFont="1" applyBorder="1" applyAlignment="1">
      <alignment horizontal="center"/>
    </xf>
    <xf numFmtId="0" fontId="4" fillId="0" borderId="124" xfId="0" applyFont="1" applyBorder="1" applyAlignment="1">
      <alignment horizontal="center"/>
    </xf>
    <xf numFmtId="0" fontId="6" fillId="0" borderId="100" xfId="0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125" xfId="0" applyFont="1" applyBorder="1"/>
    <xf numFmtId="0" fontId="23" fillId="0" borderId="0" xfId="0" applyFont="1" applyAlignment="1">
      <alignment horizontal="right" wrapText="1"/>
    </xf>
    <xf numFmtId="1" fontId="46" fillId="0" borderId="24" xfId="0" applyNumberFormat="1" applyFont="1" applyBorder="1" applyAlignment="1">
      <alignment horizontal="left" vertical="center" wrapText="1"/>
    </xf>
    <xf numFmtId="0" fontId="6" fillId="0" borderId="126" xfId="0" applyFont="1" applyBorder="1" applyAlignment="1">
      <alignment horizontal="left"/>
    </xf>
    <xf numFmtId="1" fontId="7" fillId="0" borderId="0" xfId="0" applyNumberFormat="1" applyFont="1"/>
    <xf numFmtId="0" fontId="5" fillId="0" borderId="99" xfId="0" applyFont="1" applyBorder="1"/>
    <xf numFmtId="1" fontId="6" fillId="0" borderId="66" xfId="0" applyNumberFormat="1" applyFont="1" applyBorder="1"/>
    <xf numFmtId="0" fontId="5" fillId="0" borderId="11" xfId="0" applyFont="1" applyBorder="1"/>
    <xf numFmtId="0" fontId="5" fillId="0" borderId="20" xfId="0" applyFont="1" applyBorder="1"/>
    <xf numFmtId="1" fontId="6" fillId="0" borderId="127" xfId="0" applyNumberFormat="1" applyFont="1" applyBorder="1"/>
    <xf numFmtId="1" fontId="6" fillId="0" borderId="128" xfId="0" applyNumberFormat="1" applyFont="1" applyBorder="1"/>
    <xf numFmtId="1" fontId="6" fillId="0" borderId="80" xfId="0" applyNumberFormat="1" applyFont="1" applyBorder="1"/>
    <xf numFmtId="1" fontId="6" fillId="0" borderId="96" xfId="0" applyNumberFormat="1" applyFont="1" applyBorder="1"/>
    <xf numFmtId="1" fontId="6" fillId="0" borderId="129" xfId="0" applyNumberFormat="1" applyFont="1" applyBorder="1"/>
    <xf numFmtId="0" fontId="5" fillId="0" borderId="97" xfId="0" applyFont="1" applyBorder="1" applyAlignment="1">
      <alignment horizontal="center" wrapText="1"/>
    </xf>
    <xf numFmtId="0" fontId="6" fillId="0" borderId="69" xfId="0" applyFont="1" applyBorder="1"/>
    <xf numFmtId="1" fontId="6" fillId="0" borderId="7" xfId="0" applyNumberFormat="1" applyFont="1" applyBorder="1"/>
    <xf numFmtId="0" fontId="23" fillId="0" borderId="7" xfId="0" applyFont="1" applyBorder="1"/>
    <xf numFmtId="0" fontId="6" fillId="0" borderId="100" xfId="0" applyFont="1" applyBorder="1"/>
    <xf numFmtId="0" fontId="23" fillId="0" borderId="70" xfId="0" applyFont="1" applyBorder="1"/>
    <xf numFmtId="0" fontId="6" fillId="0" borderId="74" xfId="0" applyFont="1" applyBorder="1"/>
    <xf numFmtId="3" fontId="5" fillId="0" borderId="89" xfId="0" applyNumberFormat="1" applyFont="1" applyBorder="1"/>
    <xf numFmtId="9" fontId="5" fillId="0" borderId="0" xfId="9" applyFont="1" applyAlignment="1">
      <alignment wrapText="1"/>
    </xf>
    <xf numFmtId="0" fontId="10" fillId="0" borderId="73" xfId="0" applyFont="1" applyBorder="1" applyAlignment="1">
      <alignment horizontal="left" wrapText="1"/>
    </xf>
    <xf numFmtId="3" fontId="55" fillId="0" borderId="1" xfId="0" applyNumberFormat="1" applyFont="1" applyBorder="1"/>
    <xf numFmtId="0" fontId="55" fillId="0" borderId="1" xfId="0" applyFont="1" applyBorder="1"/>
    <xf numFmtId="0" fontId="40" fillId="3" borderId="1" xfId="0" applyFont="1" applyFill="1" applyBorder="1" applyAlignment="1">
      <alignment wrapText="1"/>
    </xf>
    <xf numFmtId="3" fontId="55" fillId="3" borderId="1" xfId="0" applyNumberFormat="1" applyFont="1" applyFill="1" applyBorder="1"/>
    <xf numFmtId="0" fontId="55" fillId="3" borderId="1" xfId="0" applyFont="1" applyFill="1" applyBorder="1"/>
    <xf numFmtId="0" fontId="13" fillId="0" borderId="0" xfId="3" applyFont="1" applyAlignment="1">
      <alignment horizontal="left"/>
    </xf>
    <xf numFmtId="0" fontId="10" fillId="0" borderId="7" xfId="0" applyFont="1" applyBorder="1" applyAlignment="1">
      <alignment vertical="top" wrapText="1"/>
    </xf>
    <xf numFmtId="0" fontId="6" fillId="0" borderId="68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3" fontId="16" fillId="0" borderId="1" xfId="0" applyNumberFormat="1" applyFont="1" applyBorder="1"/>
    <xf numFmtId="0" fontId="43" fillId="0" borderId="4" xfId="0" applyFont="1" applyBorder="1" applyAlignment="1">
      <alignment wrapText="1"/>
    </xf>
    <xf numFmtId="0" fontId="23" fillId="0" borderId="0" xfId="3" applyFont="1"/>
    <xf numFmtId="0" fontId="49" fillId="0" borderId="1" xfId="0" applyFont="1" applyBorder="1" applyAlignment="1">
      <alignment horizontal="right" wrapText="1"/>
    </xf>
    <xf numFmtId="0" fontId="43" fillId="0" borderId="1" xfId="0" applyFont="1" applyBorder="1" applyAlignment="1">
      <alignment wrapText="1"/>
    </xf>
    <xf numFmtId="0" fontId="47" fillId="0" borderId="1" xfId="0" applyFont="1" applyBorder="1" applyAlignment="1">
      <alignment wrapText="1"/>
    </xf>
    <xf numFmtId="0" fontId="49" fillId="0" borderId="1" xfId="0" applyFont="1" applyBorder="1" applyAlignment="1">
      <alignment wrapText="1"/>
    </xf>
    <xf numFmtId="0" fontId="49" fillId="0" borderId="1" xfId="0" applyFont="1" applyBorder="1" applyAlignment="1">
      <alignment horizontal="center" wrapText="1"/>
    </xf>
    <xf numFmtId="0" fontId="49" fillId="6" borderId="33" xfId="0" applyFont="1" applyFill="1" applyBorder="1" applyAlignment="1">
      <alignment horizontal="center" wrapText="1"/>
    </xf>
    <xf numFmtId="0" fontId="47" fillId="0" borderId="1" xfId="0" applyFont="1" applyBorder="1" applyAlignment="1">
      <alignment horizontal="right" wrapText="1"/>
    </xf>
    <xf numFmtId="0" fontId="62" fillId="0" borderId="1" xfId="0" applyFont="1" applyBorder="1" applyAlignment="1">
      <alignment wrapText="1"/>
    </xf>
    <xf numFmtId="0" fontId="62" fillId="0" borderId="1" xfId="0" applyFont="1" applyBorder="1" applyAlignment="1">
      <alignment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6" borderId="3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47" fillId="3" borderId="1" xfId="0" applyFont="1" applyFill="1" applyBorder="1"/>
    <xf numFmtId="0" fontId="46" fillId="0" borderId="1" xfId="0" applyFont="1" applyBorder="1" applyAlignment="1">
      <alignment wrapText="1"/>
    </xf>
    <xf numFmtId="3" fontId="46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left" wrapText="1"/>
    </xf>
    <xf numFmtId="0" fontId="62" fillId="0" borderId="4" xfId="0" applyFont="1" applyBorder="1" applyAlignment="1">
      <alignment wrapText="1"/>
    </xf>
    <xf numFmtId="0" fontId="46" fillId="0" borderId="1" xfId="0" applyFont="1" applyBorder="1"/>
    <xf numFmtId="0" fontId="48" fillId="0" borderId="0" xfId="0" applyFont="1" applyAlignment="1">
      <alignment wrapText="1"/>
    </xf>
    <xf numFmtId="0" fontId="48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43" fillId="0" borderId="1" xfId="0" applyFont="1" applyBorder="1"/>
    <xf numFmtId="0" fontId="5" fillId="0" borderId="11" xfId="0" applyFont="1" applyBorder="1" applyAlignment="1">
      <alignment horizontal="left" wrapText="1"/>
    </xf>
    <xf numFmtId="0" fontId="5" fillId="3" borderId="1" xfId="7" applyFon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0" fillId="0" borderId="0" xfId="3" applyFont="1" applyAlignment="1">
      <alignment horizontal="left"/>
    </xf>
    <xf numFmtId="0" fontId="12" fillId="0" borderId="0" xfId="3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6" fillId="0" borderId="1" xfId="2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47" fillId="0" borderId="1" xfId="0" applyFont="1" applyBorder="1" applyAlignment="1">
      <alignment horizontal="center" wrapText="1"/>
    </xf>
    <xf numFmtId="3" fontId="16" fillId="0" borderId="0" xfId="8" applyNumberFormat="1" applyFont="1" applyAlignment="1">
      <alignment horizontal="center" wrapText="1"/>
    </xf>
    <xf numFmtId="3" fontId="5" fillId="0" borderId="86" xfId="0" applyNumberFormat="1" applyFont="1" applyBorder="1" applyAlignment="1">
      <alignment horizontal="center" wrapText="1"/>
    </xf>
    <xf numFmtId="0" fontId="5" fillId="3" borderId="1" xfId="7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2" fillId="5" borderId="1" xfId="0" applyFont="1" applyFill="1" applyBorder="1" applyAlignment="1">
      <alignment horizontal="right" wrapText="1"/>
    </xf>
    <xf numFmtId="0" fontId="12" fillId="5" borderId="1" xfId="0" applyFont="1" applyFill="1" applyBorder="1"/>
    <xf numFmtId="3" fontId="12" fillId="5" borderId="1" xfId="0" applyNumberFormat="1" applyFont="1" applyFill="1" applyBorder="1"/>
    <xf numFmtId="1" fontId="23" fillId="0" borderId="0" xfId="0" applyNumberFormat="1" applyFont="1"/>
    <xf numFmtId="0" fontId="63" fillId="0" borderId="0" xfId="0" applyFont="1"/>
    <xf numFmtId="0" fontId="16" fillId="0" borderId="0" xfId="0" applyFont="1" applyAlignment="1">
      <alignment horizontal="center"/>
    </xf>
    <xf numFmtId="1" fontId="23" fillId="3" borderId="44" xfId="0" applyNumberFormat="1" applyFont="1" applyFill="1" applyBorder="1"/>
    <xf numFmtId="1" fontId="23" fillId="3" borderId="2" xfId="0" applyNumberFormat="1" applyFont="1" applyFill="1" applyBorder="1"/>
    <xf numFmtId="0" fontId="23" fillId="3" borderId="2" xfId="0" applyFont="1" applyFill="1" applyBorder="1"/>
    <xf numFmtId="1" fontId="6" fillId="3" borderId="30" xfId="0" applyNumberFormat="1" applyFont="1" applyFill="1" applyBorder="1"/>
    <xf numFmtId="0" fontId="64" fillId="0" borderId="0" xfId="0" applyFont="1"/>
    <xf numFmtId="0" fontId="57" fillId="0" borderId="0" xfId="0" applyFont="1"/>
    <xf numFmtId="3" fontId="64" fillId="0" borderId="0" xfId="0" applyNumberFormat="1" applyFont="1"/>
    <xf numFmtId="1" fontId="23" fillId="0" borderId="97" xfId="0" applyNumberFormat="1" applyFont="1" applyBorder="1"/>
    <xf numFmtId="0" fontId="55" fillId="0" borderId="0" xfId="0" applyFont="1" applyAlignment="1">
      <alignment wrapText="1"/>
    </xf>
    <xf numFmtId="0" fontId="35" fillId="0" borderId="0" xfId="0" applyFont="1"/>
    <xf numFmtId="0" fontId="55" fillId="0" borderId="0" xfId="0" applyFont="1"/>
    <xf numFmtId="0" fontId="55" fillId="0" borderId="1" xfId="0" applyFont="1" applyBorder="1" applyAlignment="1">
      <alignment horizontal="center"/>
    </xf>
    <xf numFmtId="0" fontId="68" fillId="0" borderId="1" xfId="0" applyFont="1" applyBorder="1" applyAlignment="1">
      <alignment horizontal="left" wrapText="1"/>
    </xf>
    <xf numFmtId="0" fontId="68" fillId="0" borderId="1" xfId="0" applyFont="1" applyBorder="1" applyAlignment="1">
      <alignment horizontal="right" wrapText="1"/>
    </xf>
    <xf numFmtId="3" fontId="68" fillId="0" borderId="1" xfId="0" applyNumberFormat="1" applyFont="1" applyBorder="1"/>
    <xf numFmtId="3" fontId="55" fillId="0" borderId="0" xfId="0" applyNumberFormat="1" applyFont="1"/>
    <xf numFmtId="0" fontId="35" fillId="0" borderId="0" xfId="0" applyFont="1" applyAlignment="1">
      <alignment wrapText="1"/>
    </xf>
    <xf numFmtId="3" fontId="16" fillId="3" borderId="1" xfId="0" applyNumberFormat="1" applyFont="1" applyFill="1" applyBorder="1"/>
    <xf numFmtId="0" fontId="69" fillId="0" borderId="0" xfId="0" applyFont="1"/>
    <xf numFmtId="0" fontId="71" fillId="0" borderId="0" xfId="0" applyFont="1" applyAlignment="1">
      <alignment horizontal="center" wrapText="1"/>
    </xf>
    <xf numFmtId="0" fontId="72" fillId="0" borderId="0" xfId="0" applyFont="1"/>
    <xf numFmtId="0" fontId="66" fillId="0" borderId="26" xfId="0" applyFont="1" applyBorder="1" applyAlignment="1">
      <alignment horizontal="center" wrapText="1"/>
    </xf>
    <xf numFmtId="0" fontId="66" fillId="0" borderId="87" xfId="0" applyFont="1" applyBorder="1" applyAlignment="1">
      <alignment horizontal="center" wrapText="1"/>
    </xf>
    <xf numFmtId="0" fontId="73" fillId="0" borderId="88" xfId="0" applyFont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5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0" fontId="74" fillId="0" borderId="0" xfId="0" applyFont="1" applyAlignment="1">
      <alignment horizontal="center" wrapText="1"/>
    </xf>
    <xf numFmtId="0" fontId="75" fillId="0" borderId="0" xfId="0" applyFont="1" applyAlignment="1">
      <alignment horizontal="center"/>
    </xf>
    <xf numFmtId="3" fontId="76" fillId="0" borderId="0" xfId="0" applyNumberFormat="1" applyFont="1" applyAlignment="1">
      <alignment wrapText="1"/>
    </xf>
    <xf numFmtId="3" fontId="55" fillId="0" borderId="5" xfId="0" applyNumberFormat="1" applyFont="1" applyBorder="1"/>
    <xf numFmtId="0" fontId="77" fillId="0" borderId="0" xfId="0" applyFont="1"/>
    <xf numFmtId="0" fontId="75" fillId="0" borderId="0" xfId="0" applyFont="1"/>
    <xf numFmtId="3" fontId="55" fillId="0" borderId="22" xfId="0" applyNumberFormat="1" applyFont="1" applyBorder="1"/>
    <xf numFmtId="3" fontId="40" fillId="0" borderId="5" xfId="0" applyNumberFormat="1" applyFont="1" applyBorder="1"/>
    <xf numFmtId="3" fontId="40" fillId="0" borderId="0" xfId="0" applyNumberFormat="1" applyFont="1"/>
    <xf numFmtId="3" fontId="40" fillId="0" borderId="22" xfId="0" applyNumberFormat="1" applyFont="1" applyBorder="1"/>
    <xf numFmtId="3" fontId="55" fillId="0" borderId="89" xfId="0" applyNumberFormat="1" applyFont="1" applyBorder="1"/>
    <xf numFmtId="3" fontId="68" fillId="0" borderId="90" xfId="0" applyNumberFormat="1" applyFont="1" applyBorder="1"/>
    <xf numFmtId="4" fontId="68" fillId="0" borderId="29" xfId="0" applyNumberFormat="1" applyFont="1" applyBorder="1" applyAlignment="1">
      <alignment wrapText="1"/>
    </xf>
    <xf numFmtId="3" fontId="68" fillId="0" borderId="13" xfId="0" applyNumberFormat="1" applyFont="1" applyBorder="1"/>
    <xf numFmtId="3" fontId="68" fillId="0" borderId="0" xfId="0" applyNumberFormat="1" applyFont="1"/>
    <xf numFmtId="3" fontId="77" fillId="0" borderId="0" xfId="0" applyNumberFormat="1" applyFont="1"/>
    <xf numFmtId="0" fontId="40" fillId="0" borderId="0" xfId="0" applyFont="1"/>
    <xf numFmtId="0" fontId="69" fillId="0" borderId="0" xfId="0" applyFont="1" applyAlignment="1">
      <alignment horizontal="right" wrapText="1"/>
    </xf>
    <xf numFmtId="3" fontId="69" fillId="0" borderId="0" xfId="0" applyNumberFormat="1" applyFont="1"/>
    <xf numFmtId="3" fontId="78" fillId="0" borderId="0" xfId="0" applyNumberFormat="1" applyFont="1"/>
    <xf numFmtId="3" fontId="70" fillId="0" borderId="0" xfId="0" applyNumberFormat="1" applyFont="1"/>
    <xf numFmtId="3" fontId="79" fillId="0" borderId="0" xfId="0" applyNumberFormat="1" applyFont="1"/>
    <xf numFmtId="0" fontId="40" fillId="0" borderId="0" xfId="0" applyFont="1" applyAlignment="1">
      <alignment wrapText="1"/>
    </xf>
    <xf numFmtId="3" fontId="71" fillId="0" borderId="0" xfId="0" applyNumberFormat="1" applyFont="1"/>
    <xf numFmtId="3" fontId="80" fillId="0" borderId="0" xfId="0" applyNumberFormat="1" applyFont="1"/>
    <xf numFmtId="0" fontId="71" fillId="0" borderId="0" xfId="0" applyFont="1"/>
    <xf numFmtId="0" fontId="71" fillId="0" borderId="0" xfId="0" applyFont="1" applyAlignment="1">
      <alignment wrapText="1"/>
    </xf>
    <xf numFmtId="0" fontId="80" fillId="0" borderId="0" xfId="0" applyFont="1"/>
    <xf numFmtId="3" fontId="73" fillId="0" borderId="0" xfId="0" applyNumberFormat="1" applyFont="1" applyAlignment="1">
      <alignment horizontal="center" wrapText="1"/>
    </xf>
    <xf numFmtId="3" fontId="81" fillId="0" borderId="0" xfId="0" applyNumberFormat="1" applyFont="1" applyAlignment="1">
      <alignment horizontal="center" wrapText="1"/>
    </xf>
    <xf numFmtId="0" fontId="40" fillId="0" borderId="7" xfId="0" applyFont="1" applyBorder="1"/>
    <xf numFmtId="3" fontId="82" fillId="0" borderId="0" xfId="0" applyNumberFormat="1" applyFont="1"/>
    <xf numFmtId="3" fontId="83" fillId="0" borderId="5" xfId="0" applyNumberFormat="1" applyFont="1" applyBorder="1"/>
    <xf numFmtId="0" fontId="84" fillId="0" borderId="0" xfId="0" applyFont="1"/>
    <xf numFmtId="3" fontId="70" fillId="0" borderId="0" xfId="0" applyNumberFormat="1" applyFont="1" applyAlignment="1">
      <alignment horizontal="right"/>
    </xf>
    <xf numFmtId="0" fontId="69" fillId="0" borderId="0" xfId="0" applyFont="1" applyAlignment="1">
      <alignment wrapText="1"/>
    </xf>
    <xf numFmtId="0" fontId="85" fillId="0" borderId="0" xfId="0" applyFont="1"/>
    <xf numFmtId="0" fontId="6" fillId="3" borderId="41" xfId="0" applyFont="1" applyFill="1" applyBorder="1"/>
    <xf numFmtId="3" fontId="23" fillId="0" borderId="0" xfId="0" applyNumberFormat="1" applyFont="1"/>
    <xf numFmtId="0" fontId="5" fillId="0" borderId="1" xfId="0" applyFont="1" applyBorder="1" applyAlignment="1">
      <alignment horizontal="left" wrapText="1"/>
    </xf>
    <xf numFmtId="1" fontId="6" fillId="3" borderId="66" xfId="0" applyNumberFormat="1" applyFont="1" applyFill="1" applyBorder="1"/>
    <xf numFmtId="1" fontId="5" fillId="0" borderId="0" xfId="0" applyNumberFormat="1" applyFont="1" applyAlignment="1">
      <alignment horizontal="center"/>
    </xf>
    <xf numFmtId="0" fontId="6" fillId="3" borderId="7" xfId="0" applyFont="1" applyFill="1" applyBorder="1"/>
    <xf numFmtId="1" fontId="6" fillId="3" borderId="69" xfId="0" applyNumberFormat="1" applyFont="1" applyFill="1" applyBorder="1"/>
    <xf numFmtId="0" fontId="46" fillId="3" borderId="33" xfId="0" applyFont="1" applyFill="1" applyBorder="1" applyAlignment="1">
      <alignment horizontal="right" wrapText="1"/>
    </xf>
    <xf numFmtId="0" fontId="46" fillId="6" borderId="33" xfId="0" applyFont="1" applyFill="1" applyBorder="1" applyAlignment="1">
      <alignment horizontal="right" wrapText="1"/>
    </xf>
    <xf numFmtId="0" fontId="46" fillId="3" borderId="1" xfId="0" applyFont="1" applyFill="1" applyBorder="1" applyAlignment="1">
      <alignment horizontal="left"/>
    </xf>
    <xf numFmtId="3" fontId="6" fillId="0" borderId="0" xfId="0" applyNumberFormat="1" applyFont="1" applyAlignment="1">
      <alignment horizontal="left"/>
    </xf>
    <xf numFmtId="3" fontId="16" fillId="0" borderId="0" xfId="0" applyNumberFormat="1" applyFont="1" applyAlignment="1">
      <alignment wrapText="1"/>
    </xf>
    <xf numFmtId="0" fontId="5" fillId="0" borderId="68" xfId="0" applyFont="1" applyBorder="1" applyAlignment="1">
      <alignment horizontal="center" vertical="center" wrapText="1"/>
    </xf>
    <xf numFmtId="0" fontId="5" fillId="0" borderId="1" xfId="4" applyFont="1" applyBorder="1" applyAlignment="1">
      <alignment wrapText="1"/>
    </xf>
    <xf numFmtId="0" fontId="47" fillId="0" borderId="1" xfId="6" applyFont="1" applyBorder="1" applyAlignment="1">
      <alignment horizontal="left" wrapText="1"/>
    </xf>
    <xf numFmtId="1" fontId="16" fillId="0" borderId="65" xfId="2" applyNumberFormat="1" applyFont="1" applyBorder="1"/>
    <xf numFmtId="0" fontId="16" fillId="0" borderId="15" xfId="2" applyFont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" fontId="23" fillId="0" borderId="90" xfId="2" applyNumberFormat="1" applyFont="1" applyBorder="1" applyAlignment="1">
      <alignment horizontal="center" wrapText="1"/>
    </xf>
    <xf numFmtId="0" fontId="16" fillId="0" borderId="76" xfId="2" applyFont="1" applyBorder="1" applyAlignment="1">
      <alignment horizontal="center" wrapText="1"/>
    </xf>
    <xf numFmtId="0" fontId="23" fillId="0" borderId="90" xfId="2" applyFont="1" applyBorder="1" applyAlignment="1">
      <alignment horizontal="center" wrapText="1"/>
    </xf>
    <xf numFmtId="0" fontId="16" fillId="0" borderId="84" xfId="2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3" borderId="111" xfId="2" applyFont="1" applyFill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43" fillId="0" borderId="37" xfId="0" applyFont="1" applyBorder="1" applyAlignment="1">
      <alignment wrapText="1"/>
    </xf>
    <xf numFmtId="49" fontId="5" fillId="0" borderId="61" xfId="2" applyNumberFormat="1" applyFont="1" applyBorder="1" applyAlignment="1">
      <alignment horizontal="center"/>
    </xf>
    <xf numFmtId="0" fontId="5" fillId="0" borderId="8" xfId="2" applyFont="1" applyBorder="1" applyAlignment="1">
      <alignment horizontal="center" wrapText="1"/>
    </xf>
    <xf numFmtId="3" fontId="5" fillId="0" borderId="52" xfId="2" applyNumberFormat="1" applyFont="1" applyBorder="1" applyAlignment="1">
      <alignment wrapText="1"/>
    </xf>
    <xf numFmtId="1" fontId="6" fillId="0" borderId="1" xfId="2" applyNumberFormat="1" applyFont="1" applyBorder="1" applyAlignment="1">
      <alignment wrapText="1"/>
    </xf>
    <xf numFmtId="2" fontId="16" fillId="0" borderId="0" xfId="4" applyNumberFormat="1" applyFont="1"/>
    <xf numFmtId="3" fontId="5" fillId="0" borderId="0" xfId="0" applyNumberFormat="1" applyFont="1" applyAlignment="1">
      <alignment horizontal="left" wrapText="1"/>
    </xf>
    <xf numFmtId="1" fontId="6" fillId="0" borderId="2" xfId="2" applyNumberFormat="1" applyFont="1" applyBorder="1" applyAlignment="1">
      <alignment wrapText="1"/>
    </xf>
    <xf numFmtId="1" fontId="5" fillId="0" borderId="10" xfId="2" applyNumberFormat="1" applyFont="1" applyBorder="1" applyAlignment="1">
      <alignment wrapText="1"/>
    </xf>
    <xf numFmtId="1" fontId="5" fillId="0" borderId="7" xfId="2" applyNumberFormat="1" applyFont="1" applyBorder="1" applyAlignment="1">
      <alignment wrapText="1"/>
    </xf>
    <xf numFmtId="1" fontId="5" fillId="0" borderId="30" xfId="2" applyNumberFormat="1" applyFont="1" applyBorder="1" applyAlignment="1">
      <alignment wrapText="1"/>
    </xf>
    <xf numFmtId="1" fontId="5" fillId="0" borderId="115" xfId="2" applyNumberFormat="1" applyFont="1" applyBorder="1" applyAlignment="1">
      <alignment wrapText="1"/>
    </xf>
    <xf numFmtId="3" fontId="10" fillId="0" borderId="0" xfId="0" applyNumberFormat="1" applyFont="1" applyAlignment="1">
      <alignment horizontal="right"/>
    </xf>
    <xf numFmtId="49" fontId="23" fillId="0" borderId="83" xfId="2" applyNumberFormat="1" applyFont="1" applyBorder="1" applyAlignment="1">
      <alignment horizontal="center"/>
    </xf>
    <xf numFmtId="49" fontId="23" fillId="0" borderId="71" xfId="2" applyNumberFormat="1" applyFont="1" applyBorder="1" applyAlignment="1">
      <alignment horizontal="center"/>
    </xf>
    <xf numFmtId="0" fontId="53" fillId="0" borderId="71" xfId="2" applyFont="1" applyBorder="1" applyAlignment="1">
      <alignment horizontal="center"/>
    </xf>
    <xf numFmtId="49" fontId="16" fillId="0" borderId="71" xfId="2" applyNumberFormat="1" applyFont="1" applyBorder="1" applyAlignment="1">
      <alignment horizontal="center"/>
    </xf>
    <xf numFmtId="49" fontId="16" fillId="0" borderId="41" xfId="2" applyNumberFormat="1" applyFont="1" applyBorder="1" applyAlignment="1">
      <alignment horizontal="center"/>
    </xf>
    <xf numFmtId="49" fontId="16" fillId="0" borderId="13" xfId="2" applyNumberFormat="1" applyFont="1" applyBorder="1" applyAlignment="1">
      <alignment horizontal="center"/>
    </xf>
    <xf numFmtId="49" fontId="16" fillId="0" borderId="29" xfId="2" applyNumberFormat="1" applyFont="1" applyBorder="1" applyAlignment="1">
      <alignment horizontal="center"/>
    </xf>
    <xf numFmtId="49" fontId="16" fillId="0" borderId="3" xfId="4" applyNumberFormat="1" applyFont="1" applyBorder="1" applyAlignment="1">
      <alignment horizontal="center"/>
    </xf>
    <xf numFmtId="49" fontId="16" fillId="0" borderId="30" xfId="2" applyNumberFormat="1" applyFont="1" applyBorder="1" applyAlignment="1">
      <alignment horizontal="center"/>
    </xf>
    <xf numFmtId="49" fontId="32" fillId="0" borderId="0" xfId="0" applyNumberFormat="1" applyFont="1"/>
    <xf numFmtId="49" fontId="32" fillId="0" borderId="0" xfId="0" applyNumberFormat="1" applyFont="1" applyAlignment="1">
      <alignment horizontal="center"/>
    </xf>
    <xf numFmtId="0" fontId="5" fillId="0" borderId="25" xfId="0" applyFont="1" applyBorder="1" applyAlignment="1">
      <alignment horizontal="center" wrapText="1"/>
    </xf>
    <xf numFmtId="0" fontId="4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3" fontId="5" fillId="0" borderId="6" xfId="0" applyNumberFormat="1" applyFont="1" applyFill="1" applyBorder="1"/>
    <xf numFmtId="3" fontId="10" fillId="0" borderId="6" xfId="0" applyNumberFormat="1" applyFont="1" applyFill="1" applyBorder="1"/>
    <xf numFmtId="3" fontId="10" fillId="0" borderId="77" xfId="0" applyNumberFormat="1" applyFont="1" applyFill="1" applyBorder="1"/>
    <xf numFmtId="3" fontId="5" fillId="0" borderId="5" xfId="0" applyNumberFormat="1" applyFont="1" applyFill="1" applyBorder="1"/>
    <xf numFmtId="1" fontId="16" fillId="0" borderId="0" xfId="4" applyNumberFormat="1" applyFont="1" applyFill="1"/>
    <xf numFmtId="0" fontId="11" fillId="0" borderId="7" xfId="0" applyFont="1" applyBorder="1"/>
    <xf numFmtId="3" fontId="71" fillId="0" borderId="0" xfId="0" applyNumberFormat="1" applyFont="1" applyFill="1"/>
    <xf numFmtId="3" fontId="70" fillId="0" borderId="0" xfId="0" applyNumberFormat="1" applyFont="1" applyFill="1"/>
    <xf numFmtId="3" fontId="40" fillId="0" borderId="0" xfId="0" applyNumberFormat="1" applyFont="1" applyFill="1"/>
    <xf numFmtId="0" fontId="40" fillId="0" borderId="0" xfId="0" applyFont="1" applyFill="1"/>
    <xf numFmtId="0" fontId="55" fillId="0" borderId="0" xfId="0" applyFont="1" applyFill="1"/>
    <xf numFmtId="0" fontId="69" fillId="0" borderId="0" xfId="0" applyFont="1" applyFill="1"/>
    <xf numFmtId="0" fontId="71" fillId="0" borderId="68" xfId="0" applyFont="1" applyBorder="1"/>
    <xf numFmtId="0" fontId="71" fillId="0" borderId="85" xfId="0" applyFont="1" applyBorder="1" applyAlignment="1">
      <alignment wrapText="1"/>
    </xf>
    <xf numFmtId="3" fontId="71" fillId="0" borderId="75" xfId="0" applyNumberFormat="1" applyFont="1" applyBorder="1"/>
    <xf numFmtId="0" fontId="71" fillId="0" borderId="1" xfId="0" applyFont="1" applyBorder="1"/>
    <xf numFmtId="3" fontId="71" fillId="0" borderId="1" xfId="0" applyNumberFormat="1" applyFont="1" applyBorder="1"/>
    <xf numFmtId="0" fontId="71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86" fillId="0" borderId="1" xfId="0" applyFont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2" fillId="0" borderId="19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53" fillId="0" borderId="29" xfId="2" applyFont="1" applyBorder="1" applyAlignment="1">
      <alignment horizontal="center"/>
    </xf>
    <xf numFmtId="1" fontId="12" fillId="0" borderId="0" xfId="0" applyNumberFormat="1" applyFont="1" applyBorder="1"/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4" applyFont="1" applyBorder="1" applyAlignment="1">
      <alignment horizontal="left" wrapText="1"/>
    </xf>
    <xf numFmtId="2" fontId="16" fillId="0" borderId="1" xfId="0" applyNumberFormat="1" applyFont="1" applyBorder="1" applyAlignment="1">
      <alignment horizontal="left" vertical="center" wrapText="1"/>
    </xf>
    <xf numFmtId="0" fontId="16" fillId="0" borderId="7" xfId="4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5" xfId="0" applyFont="1" applyBorder="1" applyAlignment="1">
      <alignment horizontal="center"/>
    </xf>
    <xf numFmtId="0" fontId="60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6" fillId="0" borderId="0" xfId="0" applyFont="1" applyAlignment="1">
      <alignment horizontal="center"/>
    </xf>
    <xf numFmtId="0" fontId="67" fillId="0" borderId="21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/>
    </xf>
    <xf numFmtId="0" fontId="55" fillId="0" borderId="47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10" fillId="0" borderId="0" xfId="3" applyFont="1" applyAlignment="1">
      <alignment horizontal="left"/>
    </xf>
    <xf numFmtId="0" fontId="12" fillId="0" borderId="0" xfId="3" applyFont="1" applyAlignment="1">
      <alignment horizontal="left" vertical="center" wrapText="1"/>
    </xf>
    <xf numFmtId="49" fontId="13" fillId="0" borderId="0" xfId="3" applyNumberFormat="1" applyFont="1" applyAlignment="1">
      <alignment horizontal="left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6" fillId="0" borderId="93" xfId="2" applyFont="1" applyBorder="1" applyAlignment="1">
      <alignment horizontal="center"/>
    </xf>
    <xf numFmtId="0" fontId="6" fillId="0" borderId="78" xfId="2" applyFont="1" applyBorder="1" applyAlignment="1">
      <alignment horizontal="center"/>
    </xf>
    <xf numFmtId="0" fontId="15" fillId="0" borderId="27" xfId="2" applyFont="1" applyBorder="1" applyAlignment="1">
      <alignment horizontal="center" vertical="center" wrapText="1"/>
    </xf>
    <xf numFmtId="0" fontId="15" fillId="0" borderId="86" xfId="2" applyFont="1" applyBorder="1" applyAlignment="1">
      <alignment horizontal="center" vertical="center" wrapText="1"/>
    </xf>
    <xf numFmtId="0" fontId="15" fillId="0" borderId="37" xfId="2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wrapText="1"/>
    </xf>
    <xf numFmtId="0" fontId="71" fillId="0" borderId="25" xfId="0" applyFont="1" applyBorder="1" applyAlignment="1">
      <alignment horizontal="center" wrapText="1"/>
    </xf>
    <xf numFmtId="0" fontId="35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70" fillId="0" borderId="0" xfId="0" applyFont="1" applyAlignment="1">
      <alignment horizontal="right"/>
    </xf>
  </cellXfs>
  <cellStyles count="11">
    <cellStyle name="Normal 2" xfId="1"/>
    <cellStyle name="Normal_PROJEKTI_2016_PLĀNS_Aija un Inese" xfId="2"/>
    <cellStyle name="Normal_PROJEKTI_2016_PLĀNS_Aija un Inese 2" xfId="8"/>
    <cellStyle name="Normal_PROJEKTI_2016_PLĀNS_Aija un Inese 3" xfId="7"/>
    <cellStyle name="Normal_Sporta klubi 2012_081002" xfId="3"/>
    <cellStyle name="Parasts" xfId="0" builtinId="0"/>
    <cellStyle name="Parasts 2" xfId="4"/>
    <cellStyle name="Parasts 3" xfId="5"/>
    <cellStyle name="Parasts 4" xfId="6"/>
    <cellStyle name="Parasts 5" xfId="10"/>
    <cellStyle name="Procenti" xfId="9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Q1" sqref="Q1"/>
    </sheetView>
  </sheetViews>
  <sheetFormatPr defaultColWidth="9.140625" defaultRowHeight="15" x14ac:dyDescent="0.25"/>
  <cols>
    <col min="1" max="1" width="6.85546875" style="1" customWidth="1"/>
    <col min="2" max="2" width="34.85546875" style="1" customWidth="1"/>
    <col min="3" max="3" width="10.140625" style="1" customWidth="1"/>
    <col min="4" max="4" width="8.85546875" style="1" customWidth="1"/>
    <col min="5" max="5" width="9.5703125" style="1" customWidth="1"/>
    <col min="6" max="6" width="9.42578125" style="1" customWidth="1"/>
    <col min="7" max="7" width="8.85546875" style="1" customWidth="1"/>
    <col min="8" max="8" width="8.5703125" style="1" customWidth="1"/>
    <col min="9" max="9" width="9" style="1" customWidth="1"/>
    <col min="10" max="13" width="9.140625" style="1" customWidth="1"/>
    <col min="14" max="14" width="9.85546875" style="1" bestFit="1" customWidth="1"/>
    <col min="15" max="16" width="9.140625" style="1"/>
    <col min="17" max="17" width="10.85546875" style="1" customWidth="1"/>
    <col min="18" max="18" width="9.140625" style="1"/>
    <col min="19" max="19" width="10.85546875" style="1" customWidth="1"/>
    <col min="20" max="20" width="11" style="1" customWidth="1"/>
    <col min="21" max="16384" width="9.140625" style="1"/>
  </cols>
  <sheetData>
    <row r="1" spans="1:20" x14ac:dyDescent="0.25">
      <c r="Q1" s="2" t="s">
        <v>203</v>
      </c>
    </row>
    <row r="2" spans="1:20" x14ac:dyDescent="0.25">
      <c r="B2" s="2" t="s">
        <v>0</v>
      </c>
    </row>
    <row r="4" spans="1:20" x14ac:dyDescent="0.25">
      <c r="A4" s="3" t="s">
        <v>88</v>
      </c>
      <c r="B4" s="3"/>
      <c r="C4" s="3"/>
    </row>
    <row r="5" spans="1:20" x14ac:dyDescent="0.25">
      <c r="B5" s="3" t="s">
        <v>714</v>
      </c>
    </row>
    <row r="6" spans="1:20" x14ac:dyDescent="0.25">
      <c r="A6" s="3" t="s">
        <v>83</v>
      </c>
    </row>
    <row r="7" spans="1:20" x14ac:dyDescent="0.25">
      <c r="A7" s="3"/>
      <c r="D7" s="33" t="s">
        <v>70</v>
      </c>
      <c r="E7" s="33" t="s">
        <v>71</v>
      </c>
      <c r="F7" s="33" t="s">
        <v>72</v>
      </c>
      <c r="G7" s="33" t="s">
        <v>73</v>
      </c>
      <c r="H7" s="33" t="s">
        <v>74</v>
      </c>
      <c r="I7" s="33" t="s">
        <v>75</v>
      </c>
      <c r="J7" s="33" t="s">
        <v>76</v>
      </c>
      <c r="K7" s="6" t="s">
        <v>402</v>
      </c>
      <c r="L7" s="33" t="s">
        <v>247</v>
      </c>
      <c r="M7" s="33" t="s">
        <v>248</v>
      </c>
      <c r="N7" s="33" t="s">
        <v>249</v>
      </c>
      <c r="O7" s="33" t="s">
        <v>250</v>
      </c>
      <c r="P7" s="33" t="s">
        <v>251</v>
      </c>
      <c r="Q7" s="33" t="s">
        <v>176</v>
      </c>
    </row>
    <row r="8" spans="1:20" ht="75.75" thickBot="1" x14ac:dyDescent="0.3">
      <c r="D8" s="1" t="s">
        <v>1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736" t="s">
        <v>57</v>
      </c>
      <c r="K8" s="399" t="s">
        <v>403</v>
      </c>
      <c r="L8" s="1" t="s">
        <v>211</v>
      </c>
      <c r="M8" s="1" t="s">
        <v>212</v>
      </c>
      <c r="N8" s="736" t="s">
        <v>208</v>
      </c>
      <c r="O8" s="1" t="s">
        <v>209</v>
      </c>
      <c r="P8" s="1" t="s">
        <v>210</v>
      </c>
      <c r="Q8" s="739" t="s">
        <v>177</v>
      </c>
      <c r="S8" s="5"/>
      <c r="T8" s="5"/>
    </row>
    <row r="9" spans="1:20" ht="19.5" thickBot="1" x14ac:dyDescent="0.35">
      <c r="A9" s="34" t="s">
        <v>7</v>
      </c>
      <c r="B9" s="35" t="s">
        <v>10</v>
      </c>
      <c r="C9" s="36" t="s">
        <v>29</v>
      </c>
      <c r="D9" s="36" t="s">
        <v>152</v>
      </c>
      <c r="E9" s="36" t="s">
        <v>152</v>
      </c>
      <c r="F9" s="36" t="s">
        <v>152</v>
      </c>
      <c r="G9" s="36" t="s">
        <v>152</v>
      </c>
      <c r="H9" s="36" t="s">
        <v>152</v>
      </c>
      <c r="I9" s="36" t="s">
        <v>152</v>
      </c>
      <c r="J9" s="36" t="s">
        <v>152</v>
      </c>
      <c r="K9" s="36" t="s">
        <v>152</v>
      </c>
      <c r="L9" s="36" t="s">
        <v>152</v>
      </c>
      <c r="M9" s="36" t="s">
        <v>152</v>
      </c>
      <c r="N9" s="36" t="s">
        <v>152</v>
      </c>
      <c r="O9" s="36" t="s">
        <v>152</v>
      </c>
      <c r="P9" s="36" t="s">
        <v>152</v>
      </c>
      <c r="Q9" s="36" t="s">
        <v>152</v>
      </c>
    </row>
    <row r="10" spans="1:20" x14ac:dyDescent="0.25">
      <c r="A10" s="38">
        <v>1100</v>
      </c>
      <c r="B10" s="39" t="s">
        <v>11</v>
      </c>
      <c r="C10" s="40">
        <f>SUM(D10:Q10)</f>
        <v>8462205</v>
      </c>
      <c r="D10" s="302">
        <v>921274</v>
      </c>
      <c r="E10" s="79">
        <v>664492</v>
      </c>
      <c r="F10" s="326">
        <v>696815</v>
      </c>
      <c r="G10" s="428">
        <v>796316</v>
      </c>
      <c r="H10" s="326">
        <v>415188</v>
      </c>
      <c r="I10" s="79">
        <v>891695</v>
      </c>
      <c r="J10" s="430">
        <v>447069</v>
      </c>
      <c r="K10" s="79">
        <v>427489</v>
      </c>
      <c r="L10" s="289">
        <f>951760+150</f>
        <v>951910</v>
      </c>
      <c r="M10" s="289">
        <v>522679</v>
      </c>
      <c r="N10" s="289">
        <v>681655</v>
      </c>
      <c r="O10" s="827">
        <v>254890</v>
      </c>
      <c r="P10" s="289">
        <v>790733</v>
      </c>
      <c r="Q10" s="289"/>
      <c r="R10" s="136"/>
    </row>
    <row r="11" spans="1:20" ht="60" x14ac:dyDescent="0.25">
      <c r="A11" s="42">
        <v>1200</v>
      </c>
      <c r="B11" s="43" t="s">
        <v>12</v>
      </c>
      <c r="C11" s="40">
        <f>SUM(D11:Q11)</f>
        <v>2667257</v>
      </c>
      <c r="D11" s="102">
        <v>288852</v>
      </c>
      <c r="E11" s="44">
        <v>206601</v>
      </c>
      <c r="F11" s="251">
        <f>213870-100</f>
        <v>213770</v>
      </c>
      <c r="G11" s="44">
        <v>250413</v>
      </c>
      <c r="H11" s="251">
        <v>126417</v>
      </c>
      <c r="I11" s="44">
        <v>278170</v>
      </c>
      <c r="J11" s="84">
        <v>140772</v>
      </c>
      <c r="K11" s="65">
        <v>133089</v>
      </c>
      <c r="L11" s="84">
        <v>301938</v>
      </c>
      <c r="M11" s="84">
        <v>173298</v>
      </c>
      <c r="N11" s="84">
        <v>216056</v>
      </c>
      <c r="O11" s="84">
        <v>85082</v>
      </c>
      <c r="P11" s="84">
        <v>252799</v>
      </c>
      <c r="Q11" s="84"/>
      <c r="R11" s="136"/>
    </row>
    <row r="12" spans="1:20" x14ac:dyDescent="0.25">
      <c r="A12" s="42">
        <v>2000</v>
      </c>
      <c r="B12" s="47" t="s">
        <v>13</v>
      </c>
      <c r="C12" s="44">
        <f>SUM(C13:C17)</f>
        <v>1483883</v>
      </c>
      <c r="D12" s="44">
        <f t="shared" ref="D12:P12" si="0">SUM(D13:D17)</f>
        <v>151945</v>
      </c>
      <c r="E12" s="44">
        <f t="shared" si="0"/>
        <v>98268</v>
      </c>
      <c r="F12" s="44">
        <f t="shared" si="0"/>
        <v>85106</v>
      </c>
      <c r="G12" s="44">
        <f t="shared" si="0"/>
        <v>120774</v>
      </c>
      <c r="H12" s="44">
        <f t="shared" si="0"/>
        <v>63458</v>
      </c>
      <c r="I12" s="44">
        <f t="shared" si="0"/>
        <v>124995</v>
      </c>
      <c r="J12" s="44">
        <f t="shared" si="0"/>
        <v>72726</v>
      </c>
      <c r="K12" s="44">
        <f t="shared" si="0"/>
        <v>41814</v>
      </c>
      <c r="L12" s="44">
        <f t="shared" si="0"/>
        <v>154788</v>
      </c>
      <c r="M12" s="44">
        <f t="shared" si="0"/>
        <v>143619</v>
      </c>
      <c r="N12" s="44">
        <f t="shared" si="0"/>
        <v>136567</v>
      </c>
      <c r="O12" s="44">
        <f t="shared" si="0"/>
        <v>49636</v>
      </c>
      <c r="P12" s="44">
        <f t="shared" si="0"/>
        <v>148002</v>
      </c>
      <c r="Q12" s="44">
        <f t="shared" ref="Q12" si="1">SUM(Q13:Q17)</f>
        <v>92185</v>
      </c>
      <c r="R12" s="136"/>
    </row>
    <row r="13" spans="1:20" x14ac:dyDescent="0.25">
      <c r="A13" s="42">
        <v>2100</v>
      </c>
      <c r="B13" s="47" t="s">
        <v>14</v>
      </c>
      <c r="C13" s="44">
        <f>SUM(D13:Q13)</f>
        <v>2310</v>
      </c>
      <c r="D13" s="262">
        <v>600</v>
      </c>
      <c r="E13" s="65">
        <v>120</v>
      </c>
      <c r="F13" s="85">
        <v>100</v>
      </c>
      <c r="G13" s="44"/>
      <c r="H13" s="85"/>
      <c r="I13" s="65">
        <v>80</v>
      </c>
      <c r="J13" s="90">
        <v>250</v>
      </c>
      <c r="K13" s="65"/>
      <c r="L13" s="53">
        <v>200</v>
      </c>
      <c r="M13" s="53">
        <v>200</v>
      </c>
      <c r="N13" s="53">
        <v>400</v>
      </c>
      <c r="O13" s="53">
        <v>200</v>
      </c>
      <c r="P13" s="53">
        <v>160</v>
      </c>
      <c r="Q13" s="53"/>
      <c r="R13" s="136"/>
    </row>
    <row r="14" spans="1:20" x14ac:dyDescent="0.25">
      <c r="A14" s="42">
        <v>2200</v>
      </c>
      <c r="B14" s="47" t="s">
        <v>15</v>
      </c>
      <c r="C14" s="44">
        <f t="shared" ref="C14:C25" si="2">SUM(D14:Q14)</f>
        <v>1147444</v>
      </c>
      <c r="D14" s="262">
        <v>118005</v>
      </c>
      <c r="E14" s="65">
        <f>69574+664</f>
        <v>70238</v>
      </c>
      <c r="F14" s="85">
        <f>62655+1455</f>
        <v>64110</v>
      </c>
      <c r="G14" s="44">
        <f>97633+1193</f>
        <v>98826</v>
      </c>
      <c r="H14" s="85">
        <f>46727+2100</f>
        <v>48827</v>
      </c>
      <c r="I14" s="65">
        <v>94983</v>
      </c>
      <c r="J14" s="90">
        <v>52473</v>
      </c>
      <c r="K14" s="65">
        <v>30449</v>
      </c>
      <c r="L14" s="53">
        <f>111834+2950</f>
        <v>114784</v>
      </c>
      <c r="M14" s="53">
        <f>106981-158</f>
        <v>106823</v>
      </c>
      <c r="N14" s="53">
        <f>100640+728</f>
        <v>101368</v>
      </c>
      <c r="O14" s="53">
        <f>35170+112</f>
        <v>35282</v>
      </c>
      <c r="P14" s="53">
        <v>119091</v>
      </c>
      <c r="Q14" s="53">
        <f>100000-7815</f>
        <v>92185</v>
      </c>
      <c r="R14" s="136"/>
    </row>
    <row r="15" spans="1:20" ht="45" x14ac:dyDescent="0.25">
      <c r="A15" s="42">
        <v>2300</v>
      </c>
      <c r="B15" s="43" t="s">
        <v>16</v>
      </c>
      <c r="C15" s="44">
        <f t="shared" si="2"/>
        <v>330269</v>
      </c>
      <c r="D15" s="262">
        <f>28680+4260</f>
        <v>32940</v>
      </c>
      <c r="E15" s="65">
        <f>25572+2188</f>
        <v>27760</v>
      </c>
      <c r="F15" s="85">
        <f>19780+916</f>
        <v>20696</v>
      </c>
      <c r="G15" s="44">
        <f>17907+3561</f>
        <v>21468</v>
      </c>
      <c r="H15" s="85">
        <f>12991+1340</f>
        <v>14331</v>
      </c>
      <c r="I15" s="65">
        <f>25988+3779</f>
        <v>29767</v>
      </c>
      <c r="J15" s="90">
        <f>17235+2268</f>
        <v>19503</v>
      </c>
      <c r="K15" s="65">
        <f>9888+1477</f>
        <v>11365</v>
      </c>
      <c r="L15" s="53">
        <f>37689+1745</f>
        <v>39434</v>
      </c>
      <c r="M15" s="53">
        <f>32302+3594</f>
        <v>35896</v>
      </c>
      <c r="N15" s="53">
        <f>32330+2399</f>
        <v>34729</v>
      </c>
      <c r="O15" s="53">
        <f>13785+369</f>
        <v>14154</v>
      </c>
      <c r="P15" s="53">
        <f>24618+3608</f>
        <v>28226</v>
      </c>
      <c r="Q15" s="53"/>
      <c r="R15" s="136"/>
    </row>
    <row r="16" spans="1:20" x14ac:dyDescent="0.25">
      <c r="A16" s="42">
        <v>2400</v>
      </c>
      <c r="B16" s="50" t="s">
        <v>47</v>
      </c>
      <c r="C16" s="44">
        <f t="shared" si="2"/>
        <v>0</v>
      </c>
      <c r="D16" s="262"/>
      <c r="E16" s="65"/>
      <c r="F16" s="85"/>
      <c r="G16" s="44"/>
      <c r="H16" s="85"/>
      <c r="I16" s="65"/>
      <c r="J16" s="90"/>
      <c r="K16" s="113"/>
      <c r="L16" s="53"/>
      <c r="M16" s="53"/>
      <c r="N16" s="53"/>
      <c r="O16" s="53"/>
      <c r="P16" s="53"/>
      <c r="Q16" s="53"/>
      <c r="R16" s="136"/>
    </row>
    <row r="17" spans="1:20" x14ac:dyDescent="0.25">
      <c r="A17" s="42">
        <v>2500</v>
      </c>
      <c r="B17" s="47" t="s">
        <v>17</v>
      </c>
      <c r="C17" s="44">
        <f t="shared" si="2"/>
        <v>3860</v>
      </c>
      <c r="D17" s="262">
        <v>400</v>
      </c>
      <c r="E17" s="65">
        <v>150</v>
      </c>
      <c r="F17" s="85">
        <v>200</v>
      </c>
      <c r="G17" s="44">
        <v>480</v>
      </c>
      <c r="H17" s="85">
        <v>300</v>
      </c>
      <c r="I17" s="636">
        <v>165</v>
      </c>
      <c r="J17" s="90">
        <v>500</v>
      </c>
      <c r="K17" s="113"/>
      <c r="L17" s="53">
        <v>370</v>
      </c>
      <c r="M17" s="53">
        <v>700</v>
      </c>
      <c r="N17" s="53">
        <v>70</v>
      </c>
      <c r="O17" s="53"/>
      <c r="P17" s="53">
        <v>525</v>
      </c>
      <c r="Q17" s="53"/>
      <c r="R17" s="136"/>
    </row>
    <row r="18" spans="1:20" x14ac:dyDescent="0.25">
      <c r="A18" s="42">
        <v>3200</v>
      </c>
      <c r="B18" s="47" t="s">
        <v>18</v>
      </c>
      <c r="C18" s="44">
        <f t="shared" si="2"/>
        <v>811458</v>
      </c>
      <c r="D18" s="262"/>
      <c r="E18" s="65"/>
      <c r="F18" s="85"/>
      <c r="G18" s="44"/>
      <c r="H18" s="85"/>
      <c r="I18" s="65"/>
      <c r="J18" s="90"/>
      <c r="K18" s="113"/>
      <c r="L18" s="53"/>
      <c r="M18" s="53"/>
      <c r="N18" s="53"/>
      <c r="O18" s="53"/>
      <c r="P18" s="53"/>
      <c r="Q18" s="53">
        <f>820000-8542</f>
        <v>811458</v>
      </c>
      <c r="R18" s="136"/>
    </row>
    <row r="19" spans="1:20" x14ac:dyDescent="0.25">
      <c r="A19" s="42">
        <v>5100</v>
      </c>
      <c r="B19" s="47" t="s">
        <v>22</v>
      </c>
      <c r="C19" s="44">
        <f t="shared" si="2"/>
        <v>3210</v>
      </c>
      <c r="D19" s="262"/>
      <c r="E19" s="65">
        <v>1485</v>
      </c>
      <c r="F19" s="85">
        <f>1000-1000</f>
        <v>0</v>
      </c>
      <c r="G19" s="44">
        <v>1025</v>
      </c>
      <c r="H19" s="85"/>
      <c r="I19" s="65"/>
      <c r="J19" s="90"/>
      <c r="K19" s="113"/>
      <c r="L19" s="53"/>
      <c r="M19" s="53"/>
      <c r="N19" s="53">
        <f>440-440</f>
        <v>0</v>
      </c>
      <c r="O19" s="53">
        <v>700</v>
      </c>
      <c r="P19" s="53"/>
      <c r="Q19" s="53"/>
      <c r="R19" s="136"/>
    </row>
    <row r="20" spans="1:20" x14ac:dyDescent="0.25">
      <c r="A20" s="42">
        <v>5200</v>
      </c>
      <c r="B20" s="47" t="s">
        <v>23</v>
      </c>
      <c r="C20" s="44">
        <f t="shared" si="2"/>
        <v>261536</v>
      </c>
      <c r="D20" s="262">
        <v>17600</v>
      </c>
      <c r="E20" s="65">
        <v>14005</v>
      </c>
      <c r="F20" s="85">
        <v>1000</v>
      </c>
      <c r="G20" s="44">
        <v>9520</v>
      </c>
      <c r="H20" s="85">
        <f>1700+3500</f>
        <v>5200</v>
      </c>
      <c r="I20" s="65">
        <v>11400</v>
      </c>
      <c r="J20" s="90">
        <v>40462</v>
      </c>
      <c r="K20" s="65">
        <f>5000-5000</f>
        <v>0</v>
      </c>
      <c r="L20" s="53">
        <v>60000</v>
      </c>
      <c r="M20" s="53"/>
      <c r="N20" s="53">
        <f>4350+440</f>
        <v>4790</v>
      </c>
      <c r="O20" s="53">
        <v>78388</v>
      </c>
      <c r="P20" s="53">
        <f>18526+1345-700</f>
        <v>19171</v>
      </c>
      <c r="Q20" s="53"/>
      <c r="R20" s="136"/>
    </row>
    <row r="21" spans="1:20" s="3" customFormat="1" x14ac:dyDescent="0.25">
      <c r="A21" s="42">
        <v>6000</v>
      </c>
      <c r="B21" s="43" t="s">
        <v>44</v>
      </c>
      <c r="C21" s="44">
        <f t="shared" si="2"/>
        <v>0</v>
      </c>
      <c r="D21" s="424">
        <f>SUM(D22:D24)</f>
        <v>0</v>
      </c>
      <c r="E21" s="425">
        <f t="shared" ref="E21:M21" si="3">SUM(E22:E24)</f>
        <v>0</v>
      </c>
      <c r="F21" s="424">
        <f t="shared" si="3"/>
        <v>0</v>
      </c>
      <c r="G21" s="425">
        <f t="shared" si="3"/>
        <v>0</v>
      </c>
      <c r="H21" s="424">
        <f t="shared" si="3"/>
        <v>0</v>
      </c>
      <c r="I21" s="425">
        <f t="shared" si="3"/>
        <v>0</v>
      </c>
      <c r="J21" s="54">
        <f>SUM(J22:J24)</f>
        <v>0</v>
      </c>
      <c r="K21" s="113"/>
      <c r="L21" s="54">
        <f t="shared" si="3"/>
        <v>0</v>
      </c>
      <c r="M21" s="54">
        <f t="shared" si="3"/>
        <v>0</v>
      </c>
      <c r="N21" s="54">
        <f>SUM(N22:N24)</f>
        <v>0</v>
      </c>
      <c r="O21" s="54">
        <f>SUM(O22:O24)</f>
        <v>0</v>
      </c>
      <c r="P21" s="54">
        <f>SUM(P22:P24)</f>
        <v>0</v>
      </c>
      <c r="Q21" s="54">
        <f>SUM(Q22:Q24)</f>
        <v>0</v>
      </c>
      <c r="R21" s="136"/>
    </row>
    <row r="22" spans="1:20" x14ac:dyDescent="0.25">
      <c r="A22" s="42">
        <v>6200</v>
      </c>
      <c r="B22" s="47" t="s">
        <v>24</v>
      </c>
      <c r="C22" s="44">
        <f t="shared" si="2"/>
        <v>0</v>
      </c>
      <c r="D22" s="263"/>
      <c r="E22" s="88"/>
      <c r="F22" s="328"/>
      <c r="G22" s="88"/>
      <c r="H22" s="328"/>
      <c r="I22" s="88"/>
      <c r="J22" s="87"/>
      <c r="K22" s="113"/>
      <c r="L22" s="49"/>
      <c r="M22" s="49"/>
      <c r="N22" s="49"/>
      <c r="O22" s="49"/>
      <c r="P22" s="49"/>
      <c r="Q22" s="49"/>
      <c r="R22" s="136"/>
    </row>
    <row r="23" spans="1:20" x14ac:dyDescent="0.25">
      <c r="A23" s="42">
        <v>6300</v>
      </c>
      <c r="B23" s="43" t="s">
        <v>45</v>
      </c>
      <c r="C23" s="44">
        <f t="shared" si="2"/>
        <v>0</v>
      </c>
      <c r="D23" s="263"/>
      <c r="E23" s="88"/>
      <c r="F23" s="328"/>
      <c r="G23" s="88"/>
      <c r="H23" s="328"/>
      <c r="I23" s="88"/>
      <c r="J23" s="87"/>
      <c r="K23" s="113"/>
      <c r="L23" s="49"/>
      <c r="M23" s="49"/>
      <c r="N23" s="49"/>
      <c r="O23" s="49"/>
      <c r="P23" s="49"/>
      <c r="Q23" s="49"/>
      <c r="R23" s="136"/>
    </row>
    <row r="24" spans="1:20" ht="30" x14ac:dyDescent="0.25">
      <c r="A24" s="42">
        <v>6400</v>
      </c>
      <c r="B24" s="43" t="s">
        <v>59</v>
      </c>
      <c r="C24" s="44">
        <f t="shared" si="2"/>
        <v>0</v>
      </c>
      <c r="D24" s="262"/>
      <c r="E24" s="65"/>
      <c r="F24" s="85"/>
      <c r="G24" s="65"/>
      <c r="H24" s="85"/>
      <c r="I24" s="65"/>
      <c r="J24" s="90"/>
      <c r="K24" s="113"/>
      <c r="L24" s="53"/>
      <c r="M24" s="53"/>
      <c r="N24" s="53"/>
      <c r="O24" s="53"/>
      <c r="P24" s="53"/>
      <c r="Q24" s="53"/>
      <c r="R24" s="136"/>
    </row>
    <row r="25" spans="1:20" ht="15.75" thickBot="1" x14ac:dyDescent="0.3">
      <c r="A25" s="55">
        <v>7200</v>
      </c>
      <c r="B25" s="56" t="s">
        <v>25</v>
      </c>
      <c r="C25" s="44">
        <f t="shared" si="2"/>
        <v>0</v>
      </c>
      <c r="D25" s="264"/>
      <c r="E25" s="426"/>
      <c r="F25" s="427"/>
      <c r="G25" s="429"/>
      <c r="H25" s="427"/>
      <c r="I25" s="426"/>
      <c r="J25" s="431"/>
      <c r="K25" s="401"/>
      <c r="L25" s="57"/>
      <c r="M25" s="57"/>
      <c r="N25" s="57"/>
      <c r="O25" s="57"/>
      <c r="P25" s="57"/>
      <c r="Q25" s="57"/>
      <c r="R25" s="136"/>
    </row>
    <row r="26" spans="1:20" ht="15.75" thickBot="1" x14ac:dyDescent="0.3">
      <c r="A26" s="34"/>
      <c r="B26" s="58" t="s">
        <v>26</v>
      </c>
      <c r="C26" s="59">
        <f>C10+C11+C12+C18+C19+C20+C21+C25</f>
        <v>13689549</v>
      </c>
      <c r="D26" s="59">
        <f t="shared" ref="D26:Q26" si="4">D10+D11+D12+D18+D19+D20+D21+D25</f>
        <v>1379671</v>
      </c>
      <c r="E26" s="59">
        <f t="shared" si="4"/>
        <v>984851</v>
      </c>
      <c r="F26" s="59">
        <f t="shared" si="4"/>
        <v>996691</v>
      </c>
      <c r="G26" s="59">
        <f t="shared" si="4"/>
        <v>1178048</v>
      </c>
      <c r="H26" s="59">
        <f t="shared" si="4"/>
        <v>610263</v>
      </c>
      <c r="I26" s="59">
        <f t="shared" si="4"/>
        <v>1306260</v>
      </c>
      <c r="J26" s="59">
        <f t="shared" si="4"/>
        <v>701029</v>
      </c>
      <c r="K26" s="59">
        <f t="shared" si="4"/>
        <v>602392</v>
      </c>
      <c r="L26" s="59">
        <f t="shared" si="4"/>
        <v>1468636</v>
      </c>
      <c r="M26" s="59">
        <f t="shared" si="4"/>
        <v>839596</v>
      </c>
      <c r="N26" s="59">
        <f t="shared" si="4"/>
        <v>1039068</v>
      </c>
      <c r="O26" s="760">
        <f t="shared" si="4"/>
        <v>468696</v>
      </c>
      <c r="P26" s="59">
        <f t="shared" si="4"/>
        <v>1210705</v>
      </c>
      <c r="Q26" s="59">
        <f t="shared" si="4"/>
        <v>903643</v>
      </c>
      <c r="R26" s="136"/>
    </row>
    <row r="27" spans="1:20" x14ac:dyDescent="0.25">
      <c r="B27" s="654" t="s">
        <v>715</v>
      </c>
      <c r="C27" s="1">
        <f t="shared" ref="C27:C29" si="5">SUM(D27:P27)</f>
        <v>1636814</v>
      </c>
      <c r="D27" s="1">
        <v>178451</v>
      </c>
      <c r="E27" s="136">
        <v>137688</v>
      </c>
      <c r="F27" s="136">
        <v>118513</v>
      </c>
      <c r="G27" s="136">
        <v>129875</v>
      </c>
      <c r="H27" s="136">
        <v>56052</v>
      </c>
      <c r="I27" s="136">
        <v>177831</v>
      </c>
      <c r="J27" s="1">
        <v>89057</v>
      </c>
      <c r="K27" s="1">
        <v>66590</v>
      </c>
      <c r="L27" s="1">
        <v>198233</v>
      </c>
      <c r="M27" s="1">
        <v>146067</v>
      </c>
      <c r="N27" s="1">
        <v>143058</v>
      </c>
      <c r="O27" s="1">
        <v>18891</v>
      </c>
      <c r="P27" s="1">
        <v>176508</v>
      </c>
    </row>
    <row r="28" spans="1:20" x14ac:dyDescent="0.25">
      <c r="B28" s="654" t="s">
        <v>49</v>
      </c>
      <c r="C28" s="1">
        <f t="shared" ref="C28" si="6">SUM(D28:P28)</f>
        <v>2536</v>
      </c>
      <c r="E28" s="136"/>
      <c r="F28" s="136"/>
      <c r="G28" s="136">
        <v>2536</v>
      </c>
      <c r="H28" s="136"/>
      <c r="I28" s="136"/>
    </row>
    <row r="29" spans="1:20" x14ac:dyDescent="0.25">
      <c r="B29" s="654" t="s">
        <v>154</v>
      </c>
      <c r="C29" s="1">
        <f t="shared" si="5"/>
        <v>0</v>
      </c>
      <c r="E29" s="136"/>
      <c r="F29" s="136"/>
      <c r="G29" s="136"/>
      <c r="H29" s="136"/>
      <c r="I29" s="136"/>
      <c r="N29" s="5"/>
      <c r="O29" s="5"/>
    </row>
    <row r="30" spans="1:20" x14ac:dyDescent="0.25">
      <c r="B30" s="60" t="s">
        <v>38</v>
      </c>
      <c r="C30" s="62">
        <f t="shared" ref="C30:P30" si="7">SUM(C26:C29)</f>
        <v>15328899</v>
      </c>
      <c r="D30" s="62">
        <f t="shared" si="7"/>
        <v>1558122</v>
      </c>
      <c r="E30" s="62">
        <f t="shared" si="7"/>
        <v>1122539</v>
      </c>
      <c r="F30" s="62">
        <f t="shared" si="7"/>
        <v>1115204</v>
      </c>
      <c r="G30" s="62">
        <f t="shared" si="7"/>
        <v>1310459</v>
      </c>
      <c r="H30" s="62">
        <f t="shared" si="7"/>
        <v>666315</v>
      </c>
      <c r="I30" s="62">
        <f t="shared" si="7"/>
        <v>1484091</v>
      </c>
      <c r="J30" s="62">
        <f t="shared" si="7"/>
        <v>790086</v>
      </c>
      <c r="K30" s="62">
        <f t="shared" si="7"/>
        <v>668982</v>
      </c>
      <c r="L30" s="62">
        <f t="shared" si="7"/>
        <v>1666869</v>
      </c>
      <c r="M30" s="62">
        <f t="shared" si="7"/>
        <v>985663</v>
      </c>
      <c r="N30" s="62">
        <f t="shared" si="7"/>
        <v>1182126</v>
      </c>
      <c r="O30" s="62">
        <f t="shared" si="7"/>
        <v>487587</v>
      </c>
      <c r="P30" s="62">
        <f t="shared" si="7"/>
        <v>1387213</v>
      </c>
      <c r="Q30" s="62">
        <f>SUM(Q26:Q29)</f>
        <v>903643</v>
      </c>
      <c r="T30" s="136"/>
    </row>
    <row r="31" spans="1:20" x14ac:dyDescent="0.25">
      <c r="B31" s="60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</row>
    <row r="32" spans="1:20" x14ac:dyDescent="0.25">
      <c r="B32" s="5" t="s">
        <v>916</v>
      </c>
      <c r="C32" s="694"/>
      <c r="D32" s="694"/>
      <c r="E32" s="694"/>
      <c r="F32" s="694"/>
      <c r="G32" s="694"/>
      <c r="H32" s="694"/>
      <c r="I32" s="694"/>
      <c r="J32" s="694"/>
      <c r="K32" s="694"/>
      <c r="L32" s="694"/>
      <c r="M32" s="694"/>
      <c r="N32" s="694"/>
      <c r="O32" s="694"/>
      <c r="P32" s="694"/>
      <c r="Q32" s="694"/>
    </row>
    <row r="34" spans="2:2" x14ac:dyDescent="0.25">
      <c r="B34" s="2"/>
    </row>
    <row r="35" spans="2:2" x14ac:dyDescent="0.25">
      <c r="B35" s="2"/>
    </row>
  </sheetData>
  <phoneticPr fontId="0" type="noConversion"/>
  <pageMargins left="0.15748031496062992" right="0" top="0" bottom="0" header="0.31496062992125984" footer="0.51181102362204722"/>
  <pageSetup paperSize="9" scale="8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O18" sqref="O18"/>
    </sheetView>
  </sheetViews>
  <sheetFormatPr defaultColWidth="8.85546875" defaultRowHeight="12.75" x14ac:dyDescent="0.2"/>
  <cols>
    <col min="1" max="1" width="7.140625" style="19" customWidth="1"/>
    <col min="2" max="2" width="47.140625" style="19" customWidth="1"/>
    <col min="3" max="3" width="11" style="19" customWidth="1"/>
    <col min="4" max="16384" width="8.85546875" style="19"/>
  </cols>
  <sheetData>
    <row r="1" spans="1:5" x14ac:dyDescent="0.2">
      <c r="C1" s="654" t="s">
        <v>203</v>
      </c>
    </row>
    <row r="2" spans="1:5" ht="15" x14ac:dyDescent="0.25">
      <c r="B2" s="736" t="s">
        <v>0</v>
      </c>
    </row>
    <row r="4" spans="1:5" ht="14.25" x14ac:dyDescent="0.2">
      <c r="A4" s="3" t="s">
        <v>40</v>
      </c>
      <c r="B4" s="3"/>
      <c r="C4" s="3"/>
    </row>
    <row r="5" spans="1:5" ht="14.25" customHeight="1" x14ac:dyDescent="0.2">
      <c r="A5" s="3" t="s">
        <v>714</v>
      </c>
      <c r="B5" s="3"/>
      <c r="C5" s="3"/>
    </row>
    <row r="6" spans="1:5" ht="15" x14ac:dyDescent="0.25">
      <c r="A6" s="1"/>
      <c r="B6" s="3"/>
      <c r="C6" s="33" t="s">
        <v>146</v>
      </c>
    </row>
    <row r="7" spans="1:5" ht="15.75" thickBot="1" x14ac:dyDescent="0.3">
      <c r="A7" s="739"/>
      <c r="B7" s="739"/>
      <c r="C7" s="739" t="s">
        <v>50</v>
      </c>
    </row>
    <row r="8" spans="1:5" ht="33" customHeight="1" thickBot="1" x14ac:dyDescent="0.35">
      <c r="A8" s="133" t="s">
        <v>7</v>
      </c>
      <c r="B8" s="117" t="s">
        <v>10</v>
      </c>
      <c r="C8" s="36" t="s">
        <v>716</v>
      </c>
    </row>
    <row r="9" spans="1:5" ht="15" x14ac:dyDescent="0.25">
      <c r="A9" s="101">
        <v>1100</v>
      </c>
      <c r="B9" s="104" t="s">
        <v>11</v>
      </c>
      <c r="C9" s="79">
        <f>490808</f>
        <v>490808</v>
      </c>
      <c r="E9" s="1"/>
    </row>
    <row r="10" spans="1:5" ht="30" x14ac:dyDescent="0.25">
      <c r="A10" s="42">
        <v>1200</v>
      </c>
      <c r="B10" s="43" t="s">
        <v>12</v>
      </c>
      <c r="C10" s="44">
        <v>146719</v>
      </c>
      <c r="E10" s="136"/>
    </row>
    <row r="11" spans="1:5" ht="15" x14ac:dyDescent="0.25">
      <c r="A11" s="42">
        <v>2000</v>
      </c>
      <c r="B11" s="43" t="s">
        <v>13</v>
      </c>
      <c r="C11" s="44">
        <f>C13+C14+C12</f>
        <v>37815</v>
      </c>
      <c r="E11" s="136"/>
    </row>
    <row r="12" spans="1:5" ht="15" x14ac:dyDescent="0.25">
      <c r="A12" s="42">
        <v>2100</v>
      </c>
      <c r="B12" s="43" t="s">
        <v>14</v>
      </c>
      <c r="C12" s="65">
        <v>150</v>
      </c>
      <c r="E12" s="1"/>
    </row>
    <row r="13" spans="1:5" ht="15" x14ac:dyDescent="0.25">
      <c r="A13" s="42">
        <v>2200</v>
      </c>
      <c r="B13" s="43" t="s">
        <v>15</v>
      </c>
      <c r="C13" s="44">
        <f>24080-1150</f>
        <v>22930</v>
      </c>
      <c r="E13" s="136"/>
    </row>
    <row r="14" spans="1:5" ht="29.25" customHeight="1" x14ac:dyDescent="0.25">
      <c r="A14" s="42">
        <v>2300</v>
      </c>
      <c r="B14" s="43" t="s">
        <v>16</v>
      </c>
      <c r="C14" s="44">
        <f>16850-2115</f>
        <v>14735</v>
      </c>
      <c r="E14" s="136"/>
    </row>
    <row r="15" spans="1:5" ht="15" x14ac:dyDescent="0.25">
      <c r="A15" s="42">
        <v>2400</v>
      </c>
      <c r="B15" s="83" t="s">
        <v>47</v>
      </c>
      <c r="C15" s="65"/>
      <c r="E15" s="1"/>
    </row>
    <row r="16" spans="1:5" ht="15" x14ac:dyDescent="0.25">
      <c r="A16" s="42">
        <v>2500</v>
      </c>
      <c r="B16" s="43" t="s">
        <v>17</v>
      </c>
      <c r="C16" s="65"/>
      <c r="E16" s="1"/>
    </row>
    <row r="17" spans="1:5" ht="15" x14ac:dyDescent="0.25">
      <c r="A17" s="42">
        <v>4200</v>
      </c>
      <c r="B17" s="47" t="s">
        <v>19</v>
      </c>
      <c r="C17" s="65"/>
      <c r="E17" s="1"/>
    </row>
    <row r="18" spans="1:5" ht="15" x14ac:dyDescent="0.25">
      <c r="A18" s="42">
        <v>4300</v>
      </c>
      <c r="B18" s="43" t="s">
        <v>20</v>
      </c>
      <c r="C18" s="65"/>
      <c r="E18" s="1"/>
    </row>
    <row r="19" spans="1:5" ht="15" x14ac:dyDescent="0.25">
      <c r="A19" s="42">
        <v>5100</v>
      </c>
      <c r="B19" s="43" t="s">
        <v>22</v>
      </c>
      <c r="C19" s="65"/>
      <c r="E19" s="1"/>
    </row>
    <row r="20" spans="1:5" ht="15" x14ac:dyDescent="0.25">
      <c r="A20" s="42">
        <v>5200</v>
      </c>
      <c r="B20" s="43" t="s">
        <v>23</v>
      </c>
      <c r="C20" s="65">
        <f>2000+3115</f>
        <v>5115</v>
      </c>
      <c r="E20" s="1"/>
    </row>
    <row r="21" spans="1:5" ht="15" x14ac:dyDescent="0.25">
      <c r="A21" s="42">
        <v>6200</v>
      </c>
      <c r="B21" s="43" t="s">
        <v>44</v>
      </c>
      <c r="C21" s="65"/>
    </row>
    <row r="22" spans="1:5" ht="30" x14ac:dyDescent="0.25">
      <c r="A22" s="135">
        <v>6500</v>
      </c>
      <c r="B22" s="5" t="s">
        <v>99</v>
      </c>
      <c r="C22" s="65"/>
    </row>
    <row r="23" spans="1:5" ht="15.75" customHeight="1" thickBot="1" x14ac:dyDescent="0.3">
      <c r="A23" s="82">
        <v>7200</v>
      </c>
      <c r="B23" s="83" t="s">
        <v>25</v>
      </c>
      <c r="C23" s="65"/>
    </row>
    <row r="24" spans="1:5" ht="18" customHeight="1" thickBot="1" x14ac:dyDescent="0.3">
      <c r="A24" s="34"/>
      <c r="B24" s="107" t="s">
        <v>26</v>
      </c>
      <c r="C24" s="59">
        <f>SUM(C9+C10+C11+C17+C18+C19+C20+C21+C22+C23)</f>
        <v>680457</v>
      </c>
    </row>
    <row r="25" spans="1:5" ht="15" x14ac:dyDescent="0.25">
      <c r="A25" s="1"/>
      <c r="B25" s="32"/>
    </row>
    <row r="26" spans="1:5" ht="15" x14ac:dyDescent="0.25">
      <c r="A26" s="1"/>
      <c r="B26" s="5" t="s">
        <v>916</v>
      </c>
      <c r="C26" s="1"/>
    </row>
    <row r="27" spans="1:5" ht="15" x14ac:dyDescent="0.25">
      <c r="A27" s="1"/>
      <c r="B27" s="5"/>
      <c r="C27" s="1"/>
    </row>
    <row r="29" spans="1:5" ht="15" x14ac:dyDescent="0.25">
      <c r="B29" s="2"/>
    </row>
    <row r="30" spans="1:5" ht="14.25" x14ac:dyDescent="0.2">
      <c r="B30" s="265"/>
      <c r="C30" s="435"/>
    </row>
    <row r="35" spans="2:3" s="61" customFormat="1" ht="15.75" x14ac:dyDescent="0.25">
      <c r="B35" s="26"/>
      <c r="C35" s="134"/>
    </row>
  </sheetData>
  <phoneticPr fontId="0" type="noConversion"/>
  <pageMargins left="1.82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T1" sqref="T1"/>
    </sheetView>
  </sheetViews>
  <sheetFormatPr defaultColWidth="9.140625" defaultRowHeight="12.75" x14ac:dyDescent="0.2"/>
  <cols>
    <col min="1" max="1" width="11.5703125" style="19" customWidth="1"/>
    <col min="2" max="2" width="40.42578125" style="19" customWidth="1"/>
    <col min="3" max="7" width="12.5703125" style="19" customWidth="1"/>
    <col min="8" max="8" width="16.42578125" style="19" customWidth="1"/>
    <col min="9" max="12" width="12.5703125" style="19" customWidth="1"/>
    <col min="13" max="13" width="11.140625" style="19" customWidth="1"/>
    <col min="14" max="14" width="11" style="19" customWidth="1"/>
    <col min="15" max="15" width="11.140625" style="19" customWidth="1"/>
    <col min="16" max="16" width="12" style="19" customWidth="1"/>
    <col min="17" max="17" width="11.140625" style="19" customWidth="1"/>
    <col min="18" max="18" width="11.5703125" style="19" customWidth="1"/>
    <col min="19" max="19" width="11.140625" style="19" customWidth="1"/>
    <col min="20" max="20" width="10.85546875" style="19" customWidth="1"/>
    <col min="21" max="21" width="11" style="19" customWidth="1"/>
    <col min="22" max="16384" width="9.140625" style="19"/>
  </cols>
  <sheetData>
    <row r="1" spans="1:20" ht="1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P1" s="1"/>
      <c r="Q1" s="1"/>
      <c r="R1" s="1"/>
      <c r="S1" s="1"/>
      <c r="T1" s="2" t="s">
        <v>203</v>
      </c>
    </row>
    <row r="2" spans="1:20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x14ac:dyDescent="0.25">
      <c r="A3" s="3" t="s">
        <v>504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x14ac:dyDescent="0.25">
      <c r="A4" s="1"/>
      <c r="B4" s="3" t="s">
        <v>714</v>
      </c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1"/>
      <c r="O4" s="1"/>
      <c r="P4" s="1"/>
      <c r="Q4" s="1"/>
      <c r="R4" s="1"/>
      <c r="S4" s="1"/>
      <c r="T4" s="1"/>
    </row>
    <row r="5" spans="1:20" ht="15" x14ac:dyDescent="0.25">
      <c r="A5" s="71" t="s">
        <v>91</v>
      </c>
      <c r="B5" s="72"/>
      <c r="C5" s="72"/>
      <c r="D5" s="33" t="s">
        <v>485</v>
      </c>
      <c r="E5" s="33" t="s">
        <v>487</v>
      </c>
      <c r="F5" s="33" t="s">
        <v>489</v>
      </c>
      <c r="G5" s="33" t="s">
        <v>491</v>
      </c>
      <c r="H5" s="33" t="s">
        <v>493</v>
      </c>
      <c r="I5" s="33" t="s">
        <v>495</v>
      </c>
      <c r="J5" s="33" t="s">
        <v>497</v>
      </c>
      <c r="K5" s="33" t="s">
        <v>499</v>
      </c>
      <c r="L5" s="33" t="s">
        <v>500</v>
      </c>
      <c r="M5" s="33" t="s">
        <v>469</v>
      </c>
      <c r="N5" s="33" t="s">
        <v>470</v>
      </c>
      <c r="O5" s="33" t="s">
        <v>471</v>
      </c>
      <c r="P5" s="33" t="s">
        <v>472</v>
      </c>
      <c r="Q5" s="33" t="s">
        <v>473</v>
      </c>
      <c r="R5" s="33" t="s">
        <v>474</v>
      </c>
      <c r="S5" s="33" t="s">
        <v>475</v>
      </c>
      <c r="T5" s="33" t="s">
        <v>476</v>
      </c>
    </row>
    <row r="6" spans="1:20" ht="90.75" thickBot="1" x14ac:dyDescent="0.3">
      <c r="A6" s="5"/>
      <c r="B6" s="73"/>
      <c r="C6" s="73"/>
      <c r="D6" s="739" t="s">
        <v>486</v>
      </c>
      <c r="E6" s="739" t="s">
        <v>488</v>
      </c>
      <c r="F6" s="739" t="s">
        <v>490</v>
      </c>
      <c r="G6" s="739" t="s">
        <v>492</v>
      </c>
      <c r="H6" s="739" t="s">
        <v>494</v>
      </c>
      <c r="I6" s="739" t="s">
        <v>496</v>
      </c>
      <c r="J6" s="739" t="s">
        <v>498</v>
      </c>
      <c r="K6" s="739" t="s">
        <v>881</v>
      </c>
      <c r="L6" s="739" t="s">
        <v>696</v>
      </c>
      <c r="M6" s="739" t="s">
        <v>477</v>
      </c>
      <c r="N6" s="739" t="s">
        <v>478</v>
      </c>
      <c r="O6" s="739" t="s">
        <v>479</v>
      </c>
      <c r="P6" s="739" t="s">
        <v>480</v>
      </c>
      <c r="Q6" s="739" t="s">
        <v>481</v>
      </c>
      <c r="R6" s="739" t="s">
        <v>482</v>
      </c>
      <c r="S6" s="739" t="s">
        <v>483</v>
      </c>
      <c r="T6" s="739" t="s">
        <v>484</v>
      </c>
    </row>
    <row r="7" spans="1:20" ht="19.5" thickBot="1" x14ac:dyDescent="0.35">
      <c r="A7" s="70" t="s">
        <v>7</v>
      </c>
      <c r="B7" s="75" t="s">
        <v>10</v>
      </c>
      <c r="C7" s="372" t="s">
        <v>29</v>
      </c>
      <c r="D7" s="36" t="s">
        <v>152</v>
      </c>
      <c r="E7" s="36" t="s">
        <v>152</v>
      </c>
      <c r="F7" s="36" t="s">
        <v>152</v>
      </c>
      <c r="G7" s="36" t="s">
        <v>152</v>
      </c>
      <c r="H7" s="36" t="s">
        <v>152</v>
      </c>
      <c r="I7" s="36" t="s">
        <v>152</v>
      </c>
      <c r="J7" s="36" t="s">
        <v>152</v>
      </c>
      <c r="K7" s="36" t="s">
        <v>152</v>
      </c>
      <c r="L7" s="36" t="s">
        <v>152</v>
      </c>
      <c r="M7" s="36" t="s">
        <v>152</v>
      </c>
      <c r="N7" s="36" t="s">
        <v>152</v>
      </c>
      <c r="O7" s="36" t="s">
        <v>152</v>
      </c>
      <c r="P7" s="36" t="s">
        <v>152</v>
      </c>
      <c r="Q7" s="36" t="s">
        <v>152</v>
      </c>
      <c r="R7" s="36" t="s">
        <v>152</v>
      </c>
      <c r="S7" s="36" t="s">
        <v>152</v>
      </c>
      <c r="T7" s="36" t="s">
        <v>152</v>
      </c>
    </row>
    <row r="8" spans="1:20" ht="15" x14ac:dyDescent="0.25">
      <c r="A8" s="77">
        <v>1100</v>
      </c>
      <c r="B8" s="78" t="s">
        <v>11</v>
      </c>
      <c r="C8" s="79">
        <f>SUM(D8:T8)</f>
        <v>54817</v>
      </c>
      <c r="D8" s="124">
        <v>12137</v>
      </c>
      <c r="E8" s="124"/>
      <c r="F8" s="124"/>
      <c r="G8" s="124"/>
      <c r="H8" s="124"/>
      <c r="I8" s="124"/>
      <c r="J8" s="124"/>
      <c r="K8" s="124"/>
      <c r="L8" s="124"/>
      <c r="M8" s="291">
        <v>15252</v>
      </c>
      <c r="N8" s="291"/>
      <c r="O8" s="124">
        <f>3798+19630</f>
        <v>23428</v>
      </c>
      <c r="P8" s="291">
        <f>44218-44218</f>
        <v>0</v>
      </c>
      <c r="Q8" s="291"/>
      <c r="R8" s="291">
        <v>4000</v>
      </c>
      <c r="S8" s="291"/>
      <c r="T8" s="291"/>
    </row>
    <row r="9" spans="1:20" ht="45" x14ac:dyDescent="0.25">
      <c r="A9" s="82">
        <v>1200</v>
      </c>
      <c r="B9" s="83" t="s">
        <v>12</v>
      </c>
      <c r="C9" s="65">
        <f>SUM(D9:T9)</f>
        <v>14707</v>
      </c>
      <c r="D9" s="90">
        <v>2863</v>
      </c>
      <c r="E9" s="90"/>
      <c r="F9" s="90"/>
      <c r="G9" s="90"/>
      <c r="H9" s="90"/>
      <c r="I9" s="90"/>
      <c r="J9" s="90"/>
      <c r="K9" s="90"/>
      <c r="L9" s="90"/>
      <c r="M9" s="84">
        <v>3598</v>
      </c>
      <c r="N9" s="84"/>
      <c r="O9" s="84">
        <f>1943+5359</f>
        <v>7302</v>
      </c>
      <c r="P9" s="84">
        <f>13004-13004</f>
        <v>0</v>
      </c>
      <c r="Q9" s="84"/>
      <c r="R9" s="84">
        <v>944</v>
      </c>
      <c r="S9" s="84"/>
      <c r="T9" s="84"/>
    </row>
    <row r="10" spans="1:20" ht="15" x14ac:dyDescent="0.25">
      <c r="A10" s="82">
        <v>2000</v>
      </c>
      <c r="B10" s="50" t="s">
        <v>13</v>
      </c>
      <c r="C10" s="65">
        <f>SUM(C11:C15)</f>
        <v>2608241</v>
      </c>
      <c r="D10" s="90">
        <f t="shared" ref="D10:L10" si="0">SUM(D11:D15)</f>
        <v>1183230</v>
      </c>
      <c r="E10" s="90">
        <f t="shared" si="0"/>
        <v>72578</v>
      </c>
      <c r="F10" s="90">
        <f t="shared" si="0"/>
        <v>79409</v>
      </c>
      <c r="G10" s="90">
        <f t="shared" si="0"/>
        <v>224268</v>
      </c>
      <c r="H10" s="473">
        <f t="shared" si="0"/>
        <v>110010</v>
      </c>
      <c r="I10" s="90">
        <f t="shared" si="0"/>
        <v>78000</v>
      </c>
      <c r="J10" s="90">
        <f t="shared" si="0"/>
        <v>194591</v>
      </c>
      <c r="K10" s="90">
        <f t="shared" si="0"/>
        <v>43000</v>
      </c>
      <c r="L10" s="90">
        <f t="shared" si="0"/>
        <v>52482</v>
      </c>
      <c r="M10" s="90">
        <f>SUM(M11:M15)</f>
        <v>99647</v>
      </c>
      <c r="N10" s="90">
        <f t="shared" ref="N10:T10" si="1">SUM(N11:N15)</f>
        <v>67251</v>
      </c>
      <c r="O10" s="90">
        <f>SUM(O11:O15)</f>
        <v>49477</v>
      </c>
      <c r="P10" s="90">
        <f t="shared" si="1"/>
        <v>116083</v>
      </c>
      <c r="Q10" s="90">
        <f t="shared" si="1"/>
        <v>45485</v>
      </c>
      <c r="R10" s="90">
        <f t="shared" si="1"/>
        <v>65620</v>
      </c>
      <c r="S10" s="90">
        <f t="shared" si="1"/>
        <v>60667</v>
      </c>
      <c r="T10" s="90">
        <f t="shared" si="1"/>
        <v>66443</v>
      </c>
    </row>
    <row r="11" spans="1:20" ht="15" x14ac:dyDescent="0.25">
      <c r="A11" s="82">
        <v>2100</v>
      </c>
      <c r="B11" s="50" t="s">
        <v>14</v>
      </c>
      <c r="C11" s="65">
        <f t="shared" ref="C11:C15" si="2">SUM(D11:T11)</f>
        <v>0</v>
      </c>
      <c r="D11" s="90"/>
      <c r="E11" s="90"/>
      <c r="F11" s="90"/>
      <c r="G11" s="90"/>
      <c r="H11" s="473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</row>
    <row r="12" spans="1:20" ht="15" x14ac:dyDescent="0.25">
      <c r="A12" s="82">
        <v>2200</v>
      </c>
      <c r="B12" s="50" t="s">
        <v>15</v>
      </c>
      <c r="C12" s="65">
        <f t="shared" si="2"/>
        <v>2519767</v>
      </c>
      <c r="D12" s="641">
        <f>1212348-29118</f>
        <v>1183230</v>
      </c>
      <c r="E12" s="473">
        <f>12968+52578</f>
        <v>65546</v>
      </c>
      <c r="F12" s="90">
        <f>79409-1193</f>
        <v>78216</v>
      </c>
      <c r="G12" s="90">
        <v>216282</v>
      </c>
      <c r="H12" s="473">
        <f>40000+68010-1000-2057</f>
        <v>104953</v>
      </c>
      <c r="I12" s="90">
        <f>13500+63500</f>
        <v>77000</v>
      </c>
      <c r="J12" s="90">
        <v>194591</v>
      </c>
      <c r="K12" s="90">
        <v>43000</v>
      </c>
      <c r="L12" s="90">
        <v>52482</v>
      </c>
      <c r="M12" s="90">
        <f>66811+2350</f>
        <v>69161</v>
      </c>
      <c r="N12" s="90">
        <f>69601-2350</f>
        <v>67251</v>
      </c>
      <c r="O12" s="90">
        <f>12685+16945+127</f>
        <v>29757</v>
      </c>
      <c r="P12" s="90">
        <f>31369+96083-31369+15000</f>
        <v>111083</v>
      </c>
      <c r="Q12" s="90">
        <v>45485</v>
      </c>
      <c r="R12" s="90">
        <v>62620</v>
      </c>
      <c r="S12" s="90">
        <f>20000+39667</f>
        <v>59667</v>
      </c>
      <c r="T12" s="90">
        <v>59443</v>
      </c>
    </row>
    <row r="13" spans="1:20" ht="30" customHeight="1" x14ac:dyDescent="0.25">
      <c r="A13" s="82">
        <v>2300</v>
      </c>
      <c r="B13" s="83" t="s">
        <v>16</v>
      </c>
      <c r="C13" s="65">
        <f t="shared" si="2"/>
        <v>88474</v>
      </c>
      <c r="D13" s="90"/>
      <c r="E13" s="90">
        <v>7032</v>
      </c>
      <c r="F13" s="90">
        <f>1193</f>
        <v>1193</v>
      </c>
      <c r="G13" s="90">
        <v>7986</v>
      </c>
      <c r="H13" s="90">
        <f>3000+2057</f>
        <v>5057</v>
      </c>
      <c r="I13" s="90">
        <v>1000</v>
      </c>
      <c r="J13" s="90"/>
      <c r="K13" s="90"/>
      <c r="L13" s="90"/>
      <c r="M13" s="90">
        <v>30486</v>
      </c>
      <c r="N13" s="90"/>
      <c r="O13" s="90">
        <f>3500+17000-780</f>
        <v>19720</v>
      </c>
      <c r="P13" s="90">
        <f>16500+5000-16500</f>
        <v>5000</v>
      </c>
      <c r="Q13" s="90"/>
      <c r="R13" s="90">
        <v>3000</v>
      </c>
      <c r="S13" s="90">
        <v>1000</v>
      </c>
      <c r="T13" s="90">
        <v>7000</v>
      </c>
    </row>
    <row r="14" spans="1:20" ht="15" x14ac:dyDescent="0.25">
      <c r="A14" s="42">
        <v>2400</v>
      </c>
      <c r="B14" s="50" t="s">
        <v>47</v>
      </c>
      <c r="C14" s="65">
        <f t="shared" si="2"/>
        <v>0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</row>
    <row r="15" spans="1:20" ht="15" x14ac:dyDescent="0.25">
      <c r="A15" s="82">
        <v>2500</v>
      </c>
      <c r="B15" s="50" t="s">
        <v>17</v>
      </c>
      <c r="C15" s="65">
        <f t="shared" si="2"/>
        <v>0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>
        <f>600-600</f>
        <v>0</v>
      </c>
      <c r="Q15" s="90"/>
      <c r="R15" s="90"/>
      <c r="S15" s="90"/>
      <c r="T15" s="90"/>
    </row>
    <row r="16" spans="1:20" ht="15" x14ac:dyDescent="0.25">
      <c r="A16" s="82">
        <v>3200</v>
      </c>
      <c r="B16" s="181" t="s">
        <v>135</v>
      </c>
      <c r="C16" s="65">
        <f t="shared" ref="C16:C24" si="3">SUM(D16:T16)</f>
        <v>418000</v>
      </c>
      <c r="D16" s="90">
        <v>418000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</row>
    <row r="17" spans="1:21" ht="15" x14ac:dyDescent="0.25">
      <c r="A17" s="82">
        <v>4200</v>
      </c>
      <c r="B17" s="50" t="s">
        <v>19</v>
      </c>
      <c r="C17" s="65">
        <f t="shared" si="3"/>
        <v>0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</row>
    <row r="18" spans="1:21" ht="15" x14ac:dyDescent="0.25">
      <c r="A18" s="82">
        <v>4300</v>
      </c>
      <c r="B18" s="50" t="s">
        <v>20</v>
      </c>
      <c r="C18" s="65">
        <f t="shared" si="3"/>
        <v>0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</row>
    <row r="19" spans="1:21" ht="15" x14ac:dyDescent="0.25">
      <c r="A19" s="82">
        <v>5100</v>
      </c>
      <c r="B19" s="50" t="s">
        <v>22</v>
      </c>
      <c r="C19" s="65">
        <f t="shared" si="3"/>
        <v>0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</row>
    <row r="20" spans="1:21" ht="15" x14ac:dyDescent="0.25">
      <c r="A20" s="82">
        <v>5200</v>
      </c>
      <c r="B20" s="50" t="s">
        <v>23</v>
      </c>
      <c r="C20" s="65">
        <f>SUM(D20:T20)</f>
        <v>289738</v>
      </c>
      <c r="D20" s="90">
        <f>100000+12066</f>
        <v>112066</v>
      </c>
      <c r="E20" s="90"/>
      <c r="F20" s="90"/>
      <c r="G20" s="90"/>
      <c r="H20" s="473"/>
      <c r="I20" s="473">
        <v>20939</v>
      </c>
      <c r="J20" s="90">
        <f>58080+40000</f>
        <v>98080</v>
      </c>
      <c r="K20" s="90"/>
      <c r="L20" s="90"/>
      <c r="M20" s="90"/>
      <c r="N20" s="90"/>
      <c r="O20" s="90">
        <v>653</v>
      </c>
      <c r="P20" s="90">
        <f>50000-15000</f>
        <v>35000</v>
      </c>
      <c r="Q20" s="90">
        <v>20000</v>
      </c>
      <c r="R20" s="90"/>
      <c r="S20" s="90"/>
      <c r="T20" s="90">
        <v>3000</v>
      </c>
    </row>
    <row r="21" spans="1:21" ht="15" x14ac:dyDescent="0.25">
      <c r="A21" s="82">
        <v>6000</v>
      </c>
      <c r="B21" s="43" t="s">
        <v>44</v>
      </c>
      <c r="C21" s="65">
        <f t="shared" si="3"/>
        <v>0</v>
      </c>
      <c r="D21" s="90"/>
      <c r="E21" s="90"/>
      <c r="F21" s="90"/>
      <c r="G21" s="90"/>
      <c r="H21" s="90"/>
      <c r="I21" s="90"/>
      <c r="J21" s="90"/>
      <c r="K21" s="90"/>
      <c r="L21" s="90"/>
      <c r="M21" s="87"/>
      <c r="N21" s="87"/>
      <c r="O21" s="87"/>
      <c r="P21" s="87"/>
      <c r="Q21" s="87"/>
      <c r="R21" s="87"/>
      <c r="S21" s="87"/>
      <c r="T21" s="87"/>
    </row>
    <row r="22" spans="1:21" ht="15" x14ac:dyDescent="0.25">
      <c r="A22" s="82">
        <v>6200</v>
      </c>
      <c r="B22" s="50" t="s">
        <v>24</v>
      </c>
      <c r="C22" s="65">
        <f t="shared" si="3"/>
        <v>0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</row>
    <row r="23" spans="1:21" ht="15" x14ac:dyDescent="0.25">
      <c r="A23" s="82">
        <v>6300</v>
      </c>
      <c r="B23" s="43" t="s">
        <v>45</v>
      </c>
      <c r="C23" s="65">
        <f t="shared" si="3"/>
        <v>0</v>
      </c>
      <c r="D23" s="90"/>
      <c r="E23" s="90"/>
      <c r="F23" s="90"/>
      <c r="G23" s="90"/>
      <c r="H23" s="90"/>
      <c r="I23" s="90"/>
      <c r="J23" s="90"/>
      <c r="K23" s="90"/>
      <c r="L23" s="90"/>
      <c r="M23" s="87"/>
      <c r="N23" s="87"/>
      <c r="O23" s="87"/>
      <c r="P23" s="87"/>
      <c r="Q23" s="87"/>
      <c r="R23" s="87"/>
      <c r="S23" s="87"/>
      <c r="T23" s="87"/>
    </row>
    <row r="24" spans="1:21" ht="30" x14ac:dyDescent="0.25">
      <c r="A24" s="82">
        <v>6400</v>
      </c>
      <c r="B24" s="43" t="s">
        <v>59</v>
      </c>
      <c r="C24" s="64">
        <f t="shared" si="3"/>
        <v>0</v>
      </c>
      <c r="D24" s="90"/>
      <c r="E24" s="90"/>
      <c r="F24" s="90"/>
      <c r="G24" s="90"/>
      <c r="H24" s="90"/>
      <c r="I24" s="90"/>
      <c r="J24" s="90"/>
      <c r="K24" s="90"/>
      <c r="L24" s="90"/>
      <c r="M24" s="87"/>
      <c r="N24" s="87"/>
      <c r="O24" s="87"/>
      <c r="P24" s="87"/>
      <c r="Q24" s="87"/>
      <c r="R24" s="87"/>
      <c r="S24" s="87"/>
      <c r="T24" s="87"/>
    </row>
    <row r="25" spans="1:21" ht="15.75" thickBot="1" x14ac:dyDescent="0.3">
      <c r="A25" s="82">
        <v>7200</v>
      </c>
      <c r="B25" s="50" t="s">
        <v>25</v>
      </c>
      <c r="C25" s="68">
        <f t="shared" ref="C25" si="4">SUM(M25:T25)</f>
        <v>0</v>
      </c>
      <c r="D25" s="124"/>
      <c r="E25" s="124"/>
      <c r="F25" s="124"/>
      <c r="G25" s="124"/>
      <c r="H25" s="124"/>
      <c r="I25" s="124"/>
      <c r="J25" s="124"/>
      <c r="K25" s="124"/>
      <c r="L25" s="124"/>
      <c r="M25" s="409"/>
      <c r="N25" s="291"/>
      <c r="O25" s="291"/>
      <c r="P25" s="291"/>
      <c r="Q25" s="291"/>
      <c r="R25" s="291"/>
      <c r="S25" s="291"/>
      <c r="T25" s="291"/>
    </row>
    <row r="26" spans="1:21" ht="16.5" thickBot="1" x14ac:dyDescent="0.3">
      <c r="A26" s="93"/>
      <c r="B26" s="94" t="s">
        <v>26</v>
      </c>
      <c r="C26" s="59">
        <f>SUM(C8+C9+C10+C16+C17+C18+C19+C20)</f>
        <v>3385503</v>
      </c>
      <c r="D26" s="371">
        <f>SUM(D8+D9+D10+D16+D17+D18+D19+D20+D21+D25)</f>
        <v>1728296</v>
      </c>
      <c r="E26" s="371">
        <f t="shared" ref="E26:L26" si="5">SUM(E8+E9+E10+E17+E18+E19+E20+E21+E25)</f>
        <v>72578</v>
      </c>
      <c r="F26" s="371">
        <f t="shared" si="5"/>
        <v>79409</v>
      </c>
      <c r="G26" s="371">
        <f t="shared" si="5"/>
        <v>224268</v>
      </c>
      <c r="H26" s="371">
        <f t="shared" si="5"/>
        <v>110010</v>
      </c>
      <c r="I26" s="371">
        <f t="shared" si="5"/>
        <v>98939</v>
      </c>
      <c r="J26" s="371">
        <f t="shared" si="5"/>
        <v>292671</v>
      </c>
      <c r="K26" s="371">
        <f t="shared" si="5"/>
        <v>43000</v>
      </c>
      <c r="L26" s="371">
        <f t="shared" si="5"/>
        <v>52482</v>
      </c>
      <c r="M26" s="371">
        <f>SUM(M8+M9+M10+M17+M18+M19+M20+M21+M25)</f>
        <v>118497</v>
      </c>
      <c r="N26" s="95">
        <f t="shared" ref="N26:S26" si="6">SUM(N8+N9+N10+N17+N18+N19+N20+N22+N24+N25)</f>
        <v>67251</v>
      </c>
      <c r="O26" s="95">
        <f>SUM(O8+O9+O10+O17+O18+O19+O20+O22+O24+O25)</f>
        <v>80860</v>
      </c>
      <c r="P26" s="95">
        <f t="shared" si="6"/>
        <v>151083</v>
      </c>
      <c r="Q26" s="95">
        <f t="shared" si="6"/>
        <v>65485</v>
      </c>
      <c r="R26" s="95">
        <f t="shared" si="6"/>
        <v>70564</v>
      </c>
      <c r="S26" s="95">
        <f t="shared" si="6"/>
        <v>60667</v>
      </c>
      <c r="T26" s="95">
        <f>SUM(T8+T9+T10+T16+T17+T18+T19+T20+T22+T24+T25)</f>
        <v>69443</v>
      </c>
      <c r="U26" s="435"/>
    </row>
    <row r="28" spans="1:21" s="10" customFormat="1" ht="20.25" customHeight="1" x14ac:dyDescent="0.25">
      <c r="B28" s="751" t="s">
        <v>573</v>
      </c>
      <c r="C28" s="752">
        <f>SUM(D28:T28)</f>
        <v>2121320</v>
      </c>
      <c r="D28" s="753">
        <v>733010</v>
      </c>
      <c r="E28" s="752">
        <v>52578</v>
      </c>
      <c r="F28" s="752">
        <v>79409</v>
      </c>
      <c r="G28" s="752">
        <v>196316</v>
      </c>
      <c r="H28" s="752">
        <v>68010</v>
      </c>
      <c r="I28" s="752">
        <v>63500</v>
      </c>
      <c r="J28" s="752">
        <v>194591</v>
      </c>
      <c r="K28" s="752">
        <v>43000</v>
      </c>
      <c r="L28" s="752">
        <v>52482</v>
      </c>
      <c r="M28" s="752">
        <f>116147+2350</f>
        <v>118497</v>
      </c>
      <c r="N28" s="752">
        <f>69601-2350</f>
        <v>67251</v>
      </c>
      <c r="O28" s="752">
        <v>58934</v>
      </c>
      <c r="P28" s="752">
        <v>151083</v>
      </c>
      <c r="Q28" s="752">
        <v>65485</v>
      </c>
      <c r="R28" s="752">
        <v>70564</v>
      </c>
      <c r="S28" s="752">
        <v>40667</v>
      </c>
      <c r="T28" s="752">
        <v>65943</v>
      </c>
      <c r="U28" s="19"/>
    </row>
    <row r="29" spans="1:21" x14ac:dyDescent="0.2">
      <c r="B29" s="60"/>
      <c r="C29" s="754"/>
      <c r="D29" s="754"/>
      <c r="E29" s="754"/>
      <c r="F29" s="754"/>
      <c r="G29" s="754"/>
      <c r="H29" s="754"/>
      <c r="I29" s="754"/>
      <c r="J29" s="754"/>
      <c r="K29" s="754"/>
      <c r="L29" s="754"/>
      <c r="M29" s="754"/>
      <c r="N29" s="754"/>
      <c r="O29" s="754"/>
      <c r="P29" s="754"/>
      <c r="Q29" s="754"/>
      <c r="R29" s="754"/>
      <c r="S29" s="754"/>
      <c r="T29" s="754"/>
    </row>
    <row r="30" spans="1:21" x14ac:dyDescent="0.2">
      <c r="B30" s="19" t="s">
        <v>503</v>
      </c>
      <c r="G30" s="435"/>
      <c r="H30" s="435"/>
      <c r="I30" s="435"/>
      <c r="O30" s="435"/>
      <c r="P30" s="435"/>
      <c r="T30" s="435"/>
    </row>
    <row r="31" spans="1:21" ht="16.5" thickBot="1" x14ac:dyDescent="0.3">
      <c r="B31" s="26" t="s">
        <v>924</v>
      </c>
      <c r="C31" s="26"/>
      <c r="D31" s="10"/>
      <c r="E31" s="1"/>
      <c r="F31" s="755"/>
      <c r="G31" s="756"/>
      <c r="I31" s="435"/>
    </row>
    <row r="32" spans="1:21" ht="30.75" thickBot="1" x14ac:dyDescent="0.3">
      <c r="B32" s="391" t="s">
        <v>34</v>
      </c>
      <c r="C32" s="392" t="s">
        <v>7</v>
      </c>
      <c r="D32" s="36" t="s">
        <v>720</v>
      </c>
      <c r="E32" s="1"/>
    </row>
    <row r="33" spans="2:5" ht="15" x14ac:dyDescent="0.25">
      <c r="B33" s="389" t="s">
        <v>186</v>
      </c>
      <c r="C33" s="39">
        <v>5200</v>
      </c>
      <c r="D33" s="390">
        <v>100000</v>
      </c>
      <c r="E33" s="154"/>
    </row>
    <row r="34" spans="2:5" ht="30" x14ac:dyDescent="0.25">
      <c r="B34" s="386" t="s">
        <v>572</v>
      </c>
      <c r="C34" s="47">
        <v>2200</v>
      </c>
      <c r="D34" s="387">
        <f>350000-17052</f>
        <v>332948</v>
      </c>
      <c r="E34" s="205"/>
    </row>
    <row r="35" spans="2:5" ht="30" x14ac:dyDescent="0.25">
      <c r="B35" s="137" t="s">
        <v>346</v>
      </c>
      <c r="C35" s="47">
        <v>2200</v>
      </c>
      <c r="D35" s="465">
        <v>96828</v>
      </c>
      <c r="E35" s="1"/>
    </row>
    <row r="36" spans="2:5" ht="30" customHeight="1" x14ac:dyDescent="0.25">
      <c r="B36" s="385" t="s">
        <v>347</v>
      </c>
      <c r="C36" s="47">
        <v>2200</v>
      </c>
      <c r="D36" s="387">
        <v>18410</v>
      </c>
      <c r="E36" s="254"/>
    </row>
    <row r="37" spans="2:5" ht="15" x14ac:dyDescent="0.25">
      <c r="B37" s="385" t="s">
        <v>784</v>
      </c>
      <c r="C37" s="47">
        <v>2200</v>
      </c>
      <c r="D37" s="387">
        <v>7000</v>
      </c>
      <c r="E37" s="254"/>
    </row>
    <row r="38" spans="2:5" ht="15" x14ac:dyDescent="0.25">
      <c r="B38" s="385" t="s">
        <v>785</v>
      </c>
      <c r="C38" s="47">
        <v>2200</v>
      </c>
      <c r="D38" s="387">
        <v>10000</v>
      </c>
      <c r="E38" s="254"/>
    </row>
    <row r="39" spans="2:5" ht="44.25" customHeight="1" x14ac:dyDescent="0.25">
      <c r="B39" s="385" t="s">
        <v>189</v>
      </c>
      <c r="C39" s="47">
        <v>5200</v>
      </c>
      <c r="D39" s="387">
        <v>12066</v>
      </c>
      <c r="E39" s="854" t="s">
        <v>373</v>
      </c>
    </row>
    <row r="40" spans="2:5" ht="45" x14ac:dyDescent="0.25">
      <c r="B40" s="385" t="s">
        <v>189</v>
      </c>
      <c r="C40" s="47">
        <v>2200</v>
      </c>
      <c r="D40" s="387">
        <f>718010-12066</f>
        <v>705944</v>
      </c>
      <c r="E40" s="1" t="s">
        <v>373</v>
      </c>
    </row>
    <row r="41" spans="2:5" ht="30" x14ac:dyDescent="0.25">
      <c r="B41" s="385" t="s">
        <v>337</v>
      </c>
      <c r="C41" s="421" t="s">
        <v>336</v>
      </c>
      <c r="D41" s="387">
        <v>15000</v>
      </c>
      <c r="E41" s="1" t="s">
        <v>373</v>
      </c>
    </row>
    <row r="42" spans="2:5" ht="30" x14ac:dyDescent="0.25">
      <c r="B42" s="386" t="s">
        <v>187</v>
      </c>
      <c r="C42" s="47">
        <v>2200</v>
      </c>
      <c r="D42" s="387">
        <v>12100</v>
      </c>
      <c r="E42" s="1"/>
    </row>
    <row r="43" spans="2:5" ht="45" x14ac:dyDescent="0.25">
      <c r="B43" s="732" t="s">
        <v>345</v>
      </c>
      <c r="C43" s="39">
        <v>3200</v>
      </c>
      <c r="D43" s="466">
        <v>18000</v>
      </c>
      <c r="E43" s="154"/>
    </row>
    <row r="44" spans="2:5" ht="30" x14ac:dyDescent="0.25">
      <c r="B44" s="732" t="s">
        <v>555</v>
      </c>
      <c r="C44" s="39">
        <v>3200</v>
      </c>
      <c r="D44" s="381">
        <v>300000</v>
      </c>
      <c r="E44" s="154"/>
    </row>
    <row r="45" spans="2:5" ht="30.75" thickBot="1" x14ac:dyDescent="0.3">
      <c r="B45" s="823" t="s">
        <v>555</v>
      </c>
      <c r="C45" s="364">
        <v>3200</v>
      </c>
      <c r="D45" s="388">
        <v>100000</v>
      </c>
      <c r="E45" s="154"/>
    </row>
    <row r="46" spans="2:5" ht="15" thickBot="1" x14ac:dyDescent="0.25">
      <c r="B46" s="396" t="s">
        <v>28</v>
      </c>
      <c r="C46" s="397"/>
      <c r="D46" s="398">
        <f>SUM(D33:D45)</f>
        <v>1728296</v>
      </c>
      <c r="E46" s="8"/>
    </row>
  </sheetData>
  <pageMargins left="0.70866141732283472" right="0.70866141732283472" top="0.35433070866141736" bottom="0.35433070866141736" header="0.31496062992125984" footer="0.31496062992125984"/>
  <pageSetup paperSize="9" scale="4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Views>
    <sheetView zoomScaleNormal="100" workbookViewId="0">
      <selection activeCell="C1" sqref="C1"/>
    </sheetView>
  </sheetViews>
  <sheetFormatPr defaultColWidth="9.140625" defaultRowHeight="15" x14ac:dyDescent="0.25"/>
  <cols>
    <col min="1" max="1" width="8.5703125" style="1" customWidth="1"/>
    <col min="2" max="2" width="42.85546875" style="5" customWidth="1"/>
    <col min="3" max="3" width="12.140625" style="1" customWidth="1"/>
    <col min="4" max="212" width="9.140625" style="1"/>
    <col min="213" max="213" width="8.5703125" style="1" customWidth="1"/>
    <col min="214" max="214" width="7.140625" style="1" customWidth="1"/>
    <col min="215" max="215" width="42.140625" style="1" customWidth="1"/>
    <col min="216" max="217" width="9.140625" style="1" customWidth="1"/>
    <col min="218" max="218" width="8.85546875" style="1" customWidth="1"/>
    <col min="219" max="220" width="8.42578125" style="1" customWidth="1"/>
    <col min="221" max="221" width="8.140625" style="1" customWidth="1"/>
    <col min="222" max="222" width="11.140625" style="1" customWidth="1"/>
    <col min="223" max="223" width="8.5703125" style="1" customWidth="1"/>
    <col min="224" max="224" width="9.140625" style="1" customWidth="1"/>
    <col min="225" max="225" width="9.5703125" style="1" customWidth="1"/>
    <col min="226" max="226" width="8.85546875" style="1" customWidth="1"/>
    <col min="227" max="227" width="8.42578125" style="1" customWidth="1"/>
    <col min="228" max="468" width="9.140625" style="1"/>
    <col min="469" max="469" width="8.5703125" style="1" customWidth="1"/>
    <col min="470" max="470" width="7.140625" style="1" customWidth="1"/>
    <col min="471" max="471" width="42.140625" style="1" customWidth="1"/>
    <col min="472" max="473" width="9.140625" style="1" customWidth="1"/>
    <col min="474" max="474" width="8.85546875" style="1" customWidth="1"/>
    <col min="475" max="476" width="8.42578125" style="1" customWidth="1"/>
    <col min="477" max="477" width="8.140625" style="1" customWidth="1"/>
    <col min="478" max="478" width="11.140625" style="1" customWidth="1"/>
    <col min="479" max="479" width="8.5703125" style="1" customWidth="1"/>
    <col min="480" max="480" width="9.140625" style="1" customWidth="1"/>
    <col min="481" max="481" width="9.5703125" style="1" customWidth="1"/>
    <col min="482" max="482" width="8.85546875" style="1" customWidth="1"/>
    <col min="483" max="483" width="8.42578125" style="1" customWidth="1"/>
    <col min="484" max="724" width="9.140625" style="1"/>
    <col min="725" max="725" width="8.5703125" style="1" customWidth="1"/>
    <col min="726" max="726" width="7.140625" style="1" customWidth="1"/>
    <col min="727" max="727" width="42.140625" style="1" customWidth="1"/>
    <col min="728" max="729" width="9.140625" style="1" customWidth="1"/>
    <col min="730" max="730" width="8.85546875" style="1" customWidth="1"/>
    <col min="731" max="732" width="8.42578125" style="1" customWidth="1"/>
    <col min="733" max="733" width="8.140625" style="1" customWidth="1"/>
    <col min="734" max="734" width="11.140625" style="1" customWidth="1"/>
    <col min="735" max="735" width="8.5703125" style="1" customWidth="1"/>
    <col min="736" max="736" width="9.140625" style="1" customWidth="1"/>
    <col min="737" max="737" width="9.5703125" style="1" customWidth="1"/>
    <col min="738" max="738" width="8.85546875" style="1" customWidth="1"/>
    <col min="739" max="739" width="8.42578125" style="1" customWidth="1"/>
    <col min="740" max="980" width="9.140625" style="1"/>
    <col min="981" max="981" width="8.5703125" style="1" customWidth="1"/>
    <col min="982" max="982" width="7.140625" style="1" customWidth="1"/>
    <col min="983" max="983" width="42.140625" style="1" customWidth="1"/>
    <col min="984" max="985" width="9.140625" style="1" customWidth="1"/>
    <col min="986" max="986" width="8.85546875" style="1" customWidth="1"/>
    <col min="987" max="988" width="8.42578125" style="1" customWidth="1"/>
    <col min="989" max="989" width="8.140625" style="1" customWidth="1"/>
    <col min="990" max="990" width="11.140625" style="1" customWidth="1"/>
    <col min="991" max="991" width="8.5703125" style="1" customWidth="1"/>
    <col min="992" max="992" width="9.140625" style="1" customWidth="1"/>
    <col min="993" max="993" width="9.5703125" style="1" customWidth="1"/>
    <col min="994" max="994" width="8.85546875" style="1" customWidth="1"/>
    <col min="995" max="995" width="8.42578125" style="1" customWidth="1"/>
    <col min="996" max="1236" width="9.140625" style="1"/>
    <col min="1237" max="1237" width="8.5703125" style="1" customWidth="1"/>
    <col min="1238" max="1238" width="7.140625" style="1" customWidth="1"/>
    <col min="1239" max="1239" width="42.140625" style="1" customWidth="1"/>
    <col min="1240" max="1241" width="9.140625" style="1" customWidth="1"/>
    <col min="1242" max="1242" width="8.85546875" style="1" customWidth="1"/>
    <col min="1243" max="1244" width="8.42578125" style="1" customWidth="1"/>
    <col min="1245" max="1245" width="8.140625" style="1" customWidth="1"/>
    <col min="1246" max="1246" width="11.140625" style="1" customWidth="1"/>
    <col min="1247" max="1247" width="8.5703125" style="1" customWidth="1"/>
    <col min="1248" max="1248" width="9.140625" style="1" customWidth="1"/>
    <col min="1249" max="1249" width="9.5703125" style="1" customWidth="1"/>
    <col min="1250" max="1250" width="8.85546875" style="1" customWidth="1"/>
    <col min="1251" max="1251" width="8.42578125" style="1" customWidth="1"/>
    <col min="1252" max="1492" width="9.140625" style="1"/>
    <col min="1493" max="1493" width="8.5703125" style="1" customWidth="1"/>
    <col min="1494" max="1494" width="7.140625" style="1" customWidth="1"/>
    <col min="1495" max="1495" width="42.140625" style="1" customWidth="1"/>
    <col min="1496" max="1497" width="9.140625" style="1" customWidth="1"/>
    <col min="1498" max="1498" width="8.85546875" style="1" customWidth="1"/>
    <col min="1499" max="1500" width="8.42578125" style="1" customWidth="1"/>
    <col min="1501" max="1501" width="8.140625" style="1" customWidth="1"/>
    <col min="1502" max="1502" width="11.140625" style="1" customWidth="1"/>
    <col min="1503" max="1503" width="8.5703125" style="1" customWidth="1"/>
    <col min="1504" max="1504" width="9.140625" style="1" customWidth="1"/>
    <col min="1505" max="1505" width="9.5703125" style="1" customWidth="1"/>
    <col min="1506" max="1506" width="8.85546875" style="1" customWidth="1"/>
    <col min="1507" max="1507" width="8.42578125" style="1" customWidth="1"/>
    <col min="1508" max="1748" width="9.140625" style="1"/>
    <col min="1749" max="1749" width="8.5703125" style="1" customWidth="1"/>
    <col min="1750" max="1750" width="7.140625" style="1" customWidth="1"/>
    <col min="1751" max="1751" width="42.140625" style="1" customWidth="1"/>
    <col min="1752" max="1753" width="9.140625" style="1" customWidth="1"/>
    <col min="1754" max="1754" width="8.85546875" style="1" customWidth="1"/>
    <col min="1755" max="1756" width="8.42578125" style="1" customWidth="1"/>
    <col min="1757" max="1757" width="8.140625" style="1" customWidth="1"/>
    <col min="1758" max="1758" width="11.140625" style="1" customWidth="1"/>
    <col min="1759" max="1759" width="8.5703125" style="1" customWidth="1"/>
    <col min="1760" max="1760" width="9.140625" style="1" customWidth="1"/>
    <col min="1761" max="1761" width="9.5703125" style="1" customWidth="1"/>
    <col min="1762" max="1762" width="8.85546875" style="1" customWidth="1"/>
    <col min="1763" max="1763" width="8.42578125" style="1" customWidth="1"/>
    <col min="1764" max="2004" width="9.140625" style="1"/>
    <col min="2005" max="2005" width="8.5703125" style="1" customWidth="1"/>
    <col min="2006" max="2006" width="7.140625" style="1" customWidth="1"/>
    <col min="2007" max="2007" width="42.140625" style="1" customWidth="1"/>
    <col min="2008" max="2009" width="9.140625" style="1" customWidth="1"/>
    <col min="2010" max="2010" width="8.85546875" style="1" customWidth="1"/>
    <col min="2011" max="2012" width="8.42578125" style="1" customWidth="1"/>
    <col min="2013" max="2013" width="8.140625" style="1" customWidth="1"/>
    <col min="2014" max="2014" width="11.140625" style="1" customWidth="1"/>
    <col min="2015" max="2015" width="8.5703125" style="1" customWidth="1"/>
    <col min="2016" max="2016" width="9.140625" style="1" customWidth="1"/>
    <col min="2017" max="2017" width="9.5703125" style="1" customWidth="1"/>
    <col min="2018" max="2018" width="8.85546875" style="1" customWidth="1"/>
    <col min="2019" max="2019" width="8.42578125" style="1" customWidth="1"/>
    <col min="2020" max="2260" width="9.140625" style="1"/>
    <col min="2261" max="2261" width="8.5703125" style="1" customWidth="1"/>
    <col min="2262" max="2262" width="7.140625" style="1" customWidth="1"/>
    <col min="2263" max="2263" width="42.140625" style="1" customWidth="1"/>
    <col min="2264" max="2265" width="9.140625" style="1" customWidth="1"/>
    <col min="2266" max="2266" width="8.85546875" style="1" customWidth="1"/>
    <col min="2267" max="2268" width="8.42578125" style="1" customWidth="1"/>
    <col min="2269" max="2269" width="8.140625" style="1" customWidth="1"/>
    <col min="2270" max="2270" width="11.140625" style="1" customWidth="1"/>
    <col min="2271" max="2271" width="8.5703125" style="1" customWidth="1"/>
    <col min="2272" max="2272" width="9.140625" style="1" customWidth="1"/>
    <col min="2273" max="2273" width="9.5703125" style="1" customWidth="1"/>
    <col min="2274" max="2274" width="8.85546875" style="1" customWidth="1"/>
    <col min="2275" max="2275" width="8.42578125" style="1" customWidth="1"/>
    <col min="2276" max="2516" width="9.140625" style="1"/>
    <col min="2517" max="2517" width="8.5703125" style="1" customWidth="1"/>
    <col min="2518" max="2518" width="7.140625" style="1" customWidth="1"/>
    <col min="2519" max="2519" width="42.140625" style="1" customWidth="1"/>
    <col min="2520" max="2521" width="9.140625" style="1" customWidth="1"/>
    <col min="2522" max="2522" width="8.85546875" style="1" customWidth="1"/>
    <col min="2523" max="2524" width="8.42578125" style="1" customWidth="1"/>
    <col min="2525" max="2525" width="8.140625" style="1" customWidth="1"/>
    <col min="2526" max="2526" width="11.140625" style="1" customWidth="1"/>
    <col min="2527" max="2527" width="8.5703125" style="1" customWidth="1"/>
    <col min="2528" max="2528" width="9.140625" style="1" customWidth="1"/>
    <col min="2529" max="2529" width="9.5703125" style="1" customWidth="1"/>
    <col min="2530" max="2530" width="8.85546875" style="1" customWidth="1"/>
    <col min="2531" max="2531" width="8.42578125" style="1" customWidth="1"/>
    <col min="2532" max="2772" width="9.140625" style="1"/>
    <col min="2773" max="2773" width="8.5703125" style="1" customWidth="1"/>
    <col min="2774" max="2774" width="7.140625" style="1" customWidth="1"/>
    <col min="2775" max="2775" width="42.140625" style="1" customWidth="1"/>
    <col min="2776" max="2777" width="9.140625" style="1" customWidth="1"/>
    <col min="2778" max="2778" width="8.85546875" style="1" customWidth="1"/>
    <col min="2779" max="2780" width="8.42578125" style="1" customWidth="1"/>
    <col min="2781" max="2781" width="8.140625" style="1" customWidth="1"/>
    <col min="2782" max="2782" width="11.140625" style="1" customWidth="1"/>
    <col min="2783" max="2783" width="8.5703125" style="1" customWidth="1"/>
    <col min="2784" max="2784" width="9.140625" style="1" customWidth="1"/>
    <col min="2785" max="2785" width="9.5703125" style="1" customWidth="1"/>
    <col min="2786" max="2786" width="8.85546875" style="1" customWidth="1"/>
    <col min="2787" max="2787" width="8.42578125" style="1" customWidth="1"/>
    <col min="2788" max="3028" width="9.140625" style="1"/>
    <col min="3029" max="3029" width="8.5703125" style="1" customWidth="1"/>
    <col min="3030" max="3030" width="7.140625" style="1" customWidth="1"/>
    <col min="3031" max="3031" width="42.140625" style="1" customWidth="1"/>
    <col min="3032" max="3033" width="9.140625" style="1" customWidth="1"/>
    <col min="3034" max="3034" width="8.85546875" style="1" customWidth="1"/>
    <col min="3035" max="3036" width="8.42578125" style="1" customWidth="1"/>
    <col min="3037" max="3037" width="8.140625" style="1" customWidth="1"/>
    <col min="3038" max="3038" width="11.140625" style="1" customWidth="1"/>
    <col min="3039" max="3039" width="8.5703125" style="1" customWidth="1"/>
    <col min="3040" max="3040" width="9.140625" style="1" customWidth="1"/>
    <col min="3041" max="3041" width="9.5703125" style="1" customWidth="1"/>
    <col min="3042" max="3042" width="8.85546875" style="1" customWidth="1"/>
    <col min="3043" max="3043" width="8.42578125" style="1" customWidth="1"/>
    <col min="3044" max="3284" width="9.140625" style="1"/>
    <col min="3285" max="3285" width="8.5703125" style="1" customWidth="1"/>
    <col min="3286" max="3286" width="7.140625" style="1" customWidth="1"/>
    <col min="3287" max="3287" width="42.140625" style="1" customWidth="1"/>
    <col min="3288" max="3289" width="9.140625" style="1" customWidth="1"/>
    <col min="3290" max="3290" width="8.85546875" style="1" customWidth="1"/>
    <col min="3291" max="3292" width="8.42578125" style="1" customWidth="1"/>
    <col min="3293" max="3293" width="8.140625" style="1" customWidth="1"/>
    <col min="3294" max="3294" width="11.140625" style="1" customWidth="1"/>
    <col min="3295" max="3295" width="8.5703125" style="1" customWidth="1"/>
    <col min="3296" max="3296" width="9.140625" style="1" customWidth="1"/>
    <col min="3297" max="3297" width="9.5703125" style="1" customWidth="1"/>
    <col min="3298" max="3298" width="8.85546875" style="1" customWidth="1"/>
    <col min="3299" max="3299" width="8.42578125" style="1" customWidth="1"/>
    <col min="3300" max="3540" width="9.140625" style="1"/>
    <col min="3541" max="3541" width="8.5703125" style="1" customWidth="1"/>
    <col min="3542" max="3542" width="7.140625" style="1" customWidth="1"/>
    <col min="3543" max="3543" width="42.140625" style="1" customWidth="1"/>
    <col min="3544" max="3545" width="9.140625" style="1" customWidth="1"/>
    <col min="3546" max="3546" width="8.85546875" style="1" customWidth="1"/>
    <col min="3547" max="3548" width="8.42578125" style="1" customWidth="1"/>
    <col min="3549" max="3549" width="8.140625" style="1" customWidth="1"/>
    <col min="3550" max="3550" width="11.140625" style="1" customWidth="1"/>
    <col min="3551" max="3551" width="8.5703125" style="1" customWidth="1"/>
    <col min="3552" max="3552" width="9.140625" style="1" customWidth="1"/>
    <col min="3553" max="3553" width="9.5703125" style="1" customWidth="1"/>
    <col min="3554" max="3554" width="8.85546875" style="1" customWidth="1"/>
    <col min="3555" max="3555" width="8.42578125" style="1" customWidth="1"/>
    <col min="3556" max="3796" width="9.140625" style="1"/>
    <col min="3797" max="3797" width="8.5703125" style="1" customWidth="1"/>
    <col min="3798" max="3798" width="7.140625" style="1" customWidth="1"/>
    <col min="3799" max="3799" width="42.140625" style="1" customWidth="1"/>
    <col min="3800" max="3801" width="9.140625" style="1" customWidth="1"/>
    <col min="3802" max="3802" width="8.85546875" style="1" customWidth="1"/>
    <col min="3803" max="3804" width="8.42578125" style="1" customWidth="1"/>
    <col min="3805" max="3805" width="8.140625" style="1" customWidth="1"/>
    <col min="3806" max="3806" width="11.140625" style="1" customWidth="1"/>
    <col min="3807" max="3807" width="8.5703125" style="1" customWidth="1"/>
    <col min="3808" max="3808" width="9.140625" style="1" customWidth="1"/>
    <col min="3809" max="3809" width="9.5703125" style="1" customWidth="1"/>
    <col min="3810" max="3810" width="8.85546875" style="1" customWidth="1"/>
    <col min="3811" max="3811" width="8.42578125" style="1" customWidth="1"/>
    <col min="3812" max="4052" width="9.140625" style="1"/>
    <col min="4053" max="4053" width="8.5703125" style="1" customWidth="1"/>
    <col min="4054" max="4054" width="7.140625" style="1" customWidth="1"/>
    <col min="4055" max="4055" width="42.140625" style="1" customWidth="1"/>
    <col min="4056" max="4057" width="9.140625" style="1" customWidth="1"/>
    <col min="4058" max="4058" width="8.85546875" style="1" customWidth="1"/>
    <col min="4059" max="4060" width="8.42578125" style="1" customWidth="1"/>
    <col min="4061" max="4061" width="8.140625" style="1" customWidth="1"/>
    <col min="4062" max="4062" width="11.140625" style="1" customWidth="1"/>
    <col min="4063" max="4063" width="8.5703125" style="1" customWidth="1"/>
    <col min="4064" max="4064" width="9.140625" style="1" customWidth="1"/>
    <col min="4065" max="4065" width="9.5703125" style="1" customWidth="1"/>
    <col min="4066" max="4066" width="8.85546875" style="1" customWidth="1"/>
    <col min="4067" max="4067" width="8.42578125" style="1" customWidth="1"/>
    <col min="4068" max="4308" width="9.140625" style="1"/>
    <col min="4309" max="4309" width="8.5703125" style="1" customWidth="1"/>
    <col min="4310" max="4310" width="7.140625" style="1" customWidth="1"/>
    <col min="4311" max="4311" width="42.140625" style="1" customWidth="1"/>
    <col min="4312" max="4313" width="9.140625" style="1" customWidth="1"/>
    <col min="4314" max="4314" width="8.85546875" style="1" customWidth="1"/>
    <col min="4315" max="4316" width="8.42578125" style="1" customWidth="1"/>
    <col min="4317" max="4317" width="8.140625" style="1" customWidth="1"/>
    <col min="4318" max="4318" width="11.140625" style="1" customWidth="1"/>
    <col min="4319" max="4319" width="8.5703125" style="1" customWidth="1"/>
    <col min="4320" max="4320" width="9.140625" style="1" customWidth="1"/>
    <col min="4321" max="4321" width="9.5703125" style="1" customWidth="1"/>
    <col min="4322" max="4322" width="8.85546875" style="1" customWidth="1"/>
    <col min="4323" max="4323" width="8.42578125" style="1" customWidth="1"/>
    <col min="4324" max="4564" width="9.140625" style="1"/>
    <col min="4565" max="4565" width="8.5703125" style="1" customWidth="1"/>
    <col min="4566" max="4566" width="7.140625" style="1" customWidth="1"/>
    <col min="4567" max="4567" width="42.140625" style="1" customWidth="1"/>
    <col min="4568" max="4569" width="9.140625" style="1" customWidth="1"/>
    <col min="4570" max="4570" width="8.85546875" style="1" customWidth="1"/>
    <col min="4571" max="4572" width="8.42578125" style="1" customWidth="1"/>
    <col min="4573" max="4573" width="8.140625" style="1" customWidth="1"/>
    <col min="4574" max="4574" width="11.140625" style="1" customWidth="1"/>
    <col min="4575" max="4575" width="8.5703125" style="1" customWidth="1"/>
    <col min="4576" max="4576" width="9.140625" style="1" customWidth="1"/>
    <col min="4577" max="4577" width="9.5703125" style="1" customWidth="1"/>
    <col min="4578" max="4578" width="8.85546875" style="1" customWidth="1"/>
    <col min="4579" max="4579" width="8.42578125" style="1" customWidth="1"/>
    <col min="4580" max="4820" width="9.140625" style="1"/>
    <col min="4821" max="4821" width="8.5703125" style="1" customWidth="1"/>
    <col min="4822" max="4822" width="7.140625" style="1" customWidth="1"/>
    <col min="4823" max="4823" width="42.140625" style="1" customWidth="1"/>
    <col min="4824" max="4825" width="9.140625" style="1" customWidth="1"/>
    <col min="4826" max="4826" width="8.85546875" style="1" customWidth="1"/>
    <col min="4827" max="4828" width="8.42578125" style="1" customWidth="1"/>
    <col min="4829" max="4829" width="8.140625" style="1" customWidth="1"/>
    <col min="4830" max="4830" width="11.140625" style="1" customWidth="1"/>
    <col min="4831" max="4831" width="8.5703125" style="1" customWidth="1"/>
    <col min="4832" max="4832" width="9.140625" style="1" customWidth="1"/>
    <col min="4833" max="4833" width="9.5703125" style="1" customWidth="1"/>
    <col min="4834" max="4834" width="8.85546875" style="1" customWidth="1"/>
    <col min="4835" max="4835" width="8.42578125" style="1" customWidth="1"/>
    <col min="4836" max="5076" width="9.140625" style="1"/>
    <col min="5077" max="5077" width="8.5703125" style="1" customWidth="1"/>
    <col min="5078" max="5078" width="7.140625" style="1" customWidth="1"/>
    <col min="5079" max="5079" width="42.140625" style="1" customWidth="1"/>
    <col min="5080" max="5081" width="9.140625" style="1" customWidth="1"/>
    <col min="5082" max="5082" width="8.85546875" style="1" customWidth="1"/>
    <col min="5083" max="5084" width="8.42578125" style="1" customWidth="1"/>
    <col min="5085" max="5085" width="8.140625" style="1" customWidth="1"/>
    <col min="5086" max="5086" width="11.140625" style="1" customWidth="1"/>
    <col min="5087" max="5087" width="8.5703125" style="1" customWidth="1"/>
    <col min="5088" max="5088" width="9.140625" style="1" customWidth="1"/>
    <col min="5089" max="5089" width="9.5703125" style="1" customWidth="1"/>
    <col min="5090" max="5090" width="8.85546875" style="1" customWidth="1"/>
    <col min="5091" max="5091" width="8.42578125" style="1" customWidth="1"/>
    <col min="5092" max="5332" width="9.140625" style="1"/>
    <col min="5333" max="5333" width="8.5703125" style="1" customWidth="1"/>
    <col min="5334" max="5334" width="7.140625" style="1" customWidth="1"/>
    <col min="5335" max="5335" width="42.140625" style="1" customWidth="1"/>
    <col min="5336" max="5337" width="9.140625" style="1" customWidth="1"/>
    <col min="5338" max="5338" width="8.85546875" style="1" customWidth="1"/>
    <col min="5339" max="5340" width="8.42578125" style="1" customWidth="1"/>
    <col min="5341" max="5341" width="8.140625" style="1" customWidth="1"/>
    <col min="5342" max="5342" width="11.140625" style="1" customWidth="1"/>
    <col min="5343" max="5343" width="8.5703125" style="1" customWidth="1"/>
    <col min="5344" max="5344" width="9.140625" style="1" customWidth="1"/>
    <col min="5345" max="5345" width="9.5703125" style="1" customWidth="1"/>
    <col min="5346" max="5346" width="8.85546875" style="1" customWidth="1"/>
    <col min="5347" max="5347" width="8.42578125" style="1" customWidth="1"/>
    <col min="5348" max="5588" width="9.140625" style="1"/>
    <col min="5589" max="5589" width="8.5703125" style="1" customWidth="1"/>
    <col min="5590" max="5590" width="7.140625" style="1" customWidth="1"/>
    <col min="5591" max="5591" width="42.140625" style="1" customWidth="1"/>
    <col min="5592" max="5593" width="9.140625" style="1" customWidth="1"/>
    <col min="5594" max="5594" width="8.85546875" style="1" customWidth="1"/>
    <col min="5595" max="5596" width="8.42578125" style="1" customWidth="1"/>
    <col min="5597" max="5597" width="8.140625" style="1" customWidth="1"/>
    <col min="5598" max="5598" width="11.140625" style="1" customWidth="1"/>
    <col min="5599" max="5599" width="8.5703125" style="1" customWidth="1"/>
    <col min="5600" max="5600" width="9.140625" style="1" customWidth="1"/>
    <col min="5601" max="5601" width="9.5703125" style="1" customWidth="1"/>
    <col min="5602" max="5602" width="8.85546875" style="1" customWidth="1"/>
    <col min="5603" max="5603" width="8.42578125" style="1" customWidth="1"/>
    <col min="5604" max="5844" width="9.140625" style="1"/>
    <col min="5845" max="5845" width="8.5703125" style="1" customWidth="1"/>
    <col min="5846" max="5846" width="7.140625" style="1" customWidth="1"/>
    <col min="5847" max="5847" width="42.140625" style="1" customWidth="1"/>
    <col min="5848" max="5849" width="9.140625" style="1" customWidth="1"/>
    <col min="5850" max="5850" width="8.85546875" style="1" customWidth="1"/>
    <col min="5851" max="5852" width="8.42578125" style="1" customWidth="1"/>
    <col min="5853" max="5853" width="8.140625" style="1" customWidth="1"/>
    <col min="5854" max="5854" width="11.140625" style="1" customWidth="1"/>
    <col min="5855" max="5855" width="8.5703125" style="1" customWidth="1"/>
    <col min="5856" max="5856" width="9.140625" style="1" customWidth="1"/>
    <col min="5857" max="5857" width="9.5703125" style="1" customWidth="1"/>
    <col min="5858" max="5858" width="8.85546875" style="1" customWidth="1"/>
    <col min="5859" max="5859" width="8.42578125" style="1" customWidth="1"/>
    <col min="5860" max="6100" width="9.140625" style="1"/>
    <col min="6101" max="6101" width="8.5703125" style="1" customWidth="1"/>
    <col min="6102" max="6102" width="7.140625" style="1" customWidth="1"/>
    <col min="6103" max="6103" width="42.140625" style="1" customWidth="1"/>
    <col min="6104" max="6105" width="9.140625" style="1" customWidth="1"/>
    <col min="6106" max="6106" width="8.85546875" style="1" customWidth="1"/>
    <col min="6107" max="6108" width="8.42578125" style="1" customWidth="1"/>
    <col min="6109" max="6109" width="8.140625" style="1" customWidth="1"/>
    <col min="6110" max="6110" width="11.140625" style="1" customWidth="1"/>
    <col min="6111" max="6111" width="8.5703125" style="1" customWidth="1"/>
    <col min="6112" max="6112" width="9.140625" style="1" customWidth="1"/>
    <col min="6113" max="6113" width="9.5703125" style="1" customWidth="1"/>
    <col min="6114" max="6114" width="8.85546875" style="1" customWidth="1"/>
    <col min="6115" max="6115" width="8.42578125" style="1" customWidth="1"/>
    <col min="6116" max="6356" width="9.140625" style="1"/>
    <col min="6357" max="6357" width="8.5703125" style="1" customWidth="1"/>
    <col min="6358" max="6358" width="7.140625" style="1" customWidth="1"/>
    <col min="6359" max="6359" width="42.140625" style="1" customWidth="1"/>
    <col min="6360" max="6361" width="9.140625" style="1" customWidth="1"/>
    <col min="6362" max="6362" width="8.85546875" style="1" customWidth="1"/>
    <col min="6363" max="6364" width="8.42578125" style="1" customWidth="1"/>
    <col min="6365" max="6365" width="8.140625" style="1" customWidth="1"/>
    <col min="6366" max="6366" width="11.140625" style="1" customWidth="1"/>
    <col min="6367" max="6367" width="8.5703125" style="1" customWidth="1"/>
    <col min="6368" max="6368" width="9.140625" style="1" customWidth="1"/>
    <col min="6369" max="6369" width="9.5703125" style="1" customWidth="1"/>
    <col min="6370" max="6370" width="8.85546875" style="1" customWidth="1"/>
    <col min="6371" max="6371" width="8.42578125" style="1" customWidth="1"/>
    <col min="6372" max="6612" width="9.140625" style="1"/>
    <col min="6613" max="6613" width="8.5703125" style="1" customWidth="1"/>
    <col min="6614" max="6614" width="7.140625" style="1" customWidth="1"/>
    <col min="6615" max="6615" width="42.140625" style="1" customWidth="1"/>
    <col min="6616" max="6617" width="9.140625" style="1" customWidth="1"/>
    <col min="6618" max="6618" width="8.85546875" style="1" customWidth="1"/>
    <col min="6619" max="6620" width="8.42578125" style="1" customWidth="1"/>
    <col min="6621" max="6621" width="8.140625" style="1" customWidth="1"/>
    <col min="6622" max="6622" width="11.140625" style="1" customWidth="1"/>
    <col min="6623" max="6623" width="8.5703125" style="1" customWidth="1"/>
    <col min="6624" max="6624" width="9.140625" style="1" customWidth="1"/>
    <col min="6625" max="6625" width="9.5703125" style="1" customWidth="1"/>
    <col min="6626" max="6626" width="8.85546875" style="1" customWidth="1"/>
    <col min="6627" max="6627" width="8.42578125" style="1" customWidth="1"/>
    <col min="6628" max="6868" width="9.140625" style="1"/>
    <col min="6869" max="6869" width="8.5703125" style="1" customWidth="1"/>
    <col min="6870" max="6870" width="7.140625" style="1" customWidth="1"/>
    <col min="6871" max="6871" width="42.140625" style="1" customWidth="1"/>
    <col min="6872" max="6873" width="9.140625" style="1" customWidth="1"/>
    <col min="6874" max="6874" width="8.85546875" style="1" customWidth="1"/>
    <col min="6875" max="6876" width="8.42578125" style="1" customWidth="1"/>
    <col min="6877" max="6877" width="8.140625" style="1" customWidth="1"/>
    <col min="6878" max="6878" width="11.140625" style="1" customWidth="1"/>
    <col min="6879" max="6879" width="8.5703125" style="1" customWidth="1"/>
    <col min="6880" max="6880" width="9.140625" style="1" customWidth="1"/>
    <col min="6881" max="6881" width="9.5703125" style="1" customWidth="1"/>
    <col min="6882" max="6882" width="8.85546875" style="1" customWidth="1"/>
    <col min="6883" max="6883" width="8.42578125" style="1" customWidth="1"/>
    <col min="6884" max="7124" width="9.140625" style="1"/>
    <col min="7125" max="7125" width="8.5703125" style="1" customWidth="1"/>
    <col min="7126" max="7126" width="7.140625" style="1" customWidth="1"/>
    <col min="7127" max="7127" width="42.140625" style="1" customWidth="1"/>
    <col min="7128" max="7129" width="9.140625" style="1" customWidth="1"/>
    <col min="7130" max="7130" width="8.85546875" style="1" customWidth="1"/>
    <col min="7131" max="7132" width="8.42578125" style="1" customWidth="1"/>
    <col min="7133" max="7133" width="8.140625" style="1" customWidth="1"/>
    <col min="7134" max="7134" width="11.140625" style="1" customWidth="1"/>
    <col min="7135" max="7135" width="8.5703125" style="1" customWidth="1"/>
    <col min="7136" max="7136" width="9.140625" style="1" customWidth="1"/>
    <col min="7137" max="7137" width="9.5703125" style="1" customWidth="1"/>
    <col min="7138" max="7138" width="8.85546875" style="1" customWidth="1"/>
    <col min="7139" max="7139" width="8.42578125" style="1" customWidth="1"/>
    <col min="7140" max="7380" width="9.140625" style="1"/>
    <col min="7381" max="7381" width="8.5703125" style="1" customWidth="1"/>
    <col min="7382" max="7382" width="7.140625" style="1" customWidth="1"/>
    <col min="7383" max="7383" width="42.140625" style="1" customWidth="1"/>
    <col min="7384" max="7385" width="9.140625" style="1" customWidth="1"/>
    <col min="7386" max="7386" width="8.85546875" style="1" customWidth="1"/>
    <col min="7387" max="7388" width="8.42578125" style="1" customWidth="1"/>
    <col min="7389" max="7389" width="8.140625" style="1" customWidth="1"/>
    <col min="7390" max="7390" width="11.140625" style="1" customWidth="1"/>
    <col min="7391" max="7391" width="8.5703125" style="1" customWidth="1"/>
    <col min="7392" max="7392" width="9.140625" style="1" customWidth="1"/>
    <col min="7393" max="7393" width="9.5703125" style="1" customWidth="1"/>
    <col min="7394" max="7394" width="8.85546875" style="1" customWidth="1"/>
    <col min="7395" max="7395" width="8.42578125" style="1" customWidth="1"/>
    <col min="7396" max="7636" width="9.140625" style="1"/>
    <col min="7637" max="7637" width="8.5703125" style="1" customWidth="1"/>
    <col min="7638" max="7638" width="7.140625" style="1" customWidth="1"/>
    <col min="7639" max="7639" width="42.140625" style="1" customWidth="1"/>
    <col min="7640" max="7641" width="9.140625" style="1" customWidth="1"/>
    <col min="7642" max="7642" width="8.85546875" style="1" customWidth="1"/>
    <col min="7643" max="7644" width="8.42578125" style="1" customWidth="1"/>
    <col min="7645" max="7645" width="8.140625" style="1" customWidth="1"/>
    <col min="7646" max="7646" width="11.140625" style="1" customWidth="1"/>
    <col min="7647" max="7647" width="8.5703125" style="1" customWidth="1"/>
    <col min="7648" max="7648" width="9.140625" style="1" customWidth="1"/>
    <col min="7649" max="7649" width="9.5703125" style="1" customWidth="1"/>
    <col min="7650" max="7650" width="8.85546875" style="1" customWidth="1"/>
    <col min="7651" max="7651" width="8.42578125" style="1" customWidth="1"/>
    <col min="7652" max="7892" width="9.140625" style="1"/>
    <col min="7893" max="7893" width="8.5703125" style="1" customWidth="1"/>
    <col min="7894" max="7894" width="7.140625" style="1" customWidth="1"/>
    <col min="7895" max="7895" width="42.140625" style="1" customWidth="1"/>
    <col min="7896" max="7897" width="9.140625" style="1" customWidth="1"/>
    <col min="7898" max="7898" width="8.85546875" style="1" customWidth="1"/>
    <col min="7899" max="7900" width="8.42578125" style="1" customWidth="1"/>
    <col min="7901" max="7901" width="8.140625" style="1" customWidth="1"/>
    <col min="7902" max="7902" width="11.140625" style="1" customWidth="1"/>
    <col min="7903" max="7903" width="8.5703125" style="1" customWidth="1"/>
    <col min="7904" max="7904" width="9.140625" style="1" customWidth="1"/>
    <col min="7905" max="7905" width="9.5703125" style="1" customWidth="1"/>
    <col min="7906" max="7906" width="8.85546875" style="1" customWidth="1"/>
    <col min="7907" max="7907" width="8.42578125" style="1" customWidth="1"/>
    <col min="7908" max="8148" width="9.140625" style="1"/>
    <col min="8149" max="8149" width="8.5703125" style="1" customWidth="1"/>
    <col min="8150" max="8150" width="7.140625" style="1" customWidth="1"/>
    <col min="8151" max="8151" width="42.140625" style="1" customWidth="1"/>
    <col min="8152" max="8153" width="9.140625" style="1" customWidth="1"/>
    <col min="8154" max="8154" width="8.85546875" style="1" customWidth="1"/>
    <col min="8155" max="8156" width="8.42578125" style="1" customWidth="1"/>
    <col min="8157" max="8157" width="8.140625" style="1" customWidth="1"/>
    <col min="8158" max="8158" width="11.140625" style="1" customWidth="1"/>
    <col min="8159" max="8159" width="8.5703125" style="1" customWidth="1"/>
    <col min="8160" max="8160" width="9.140625" style="1" customWidth="1"/>
    <col min="8161" max="8161" width="9.5703125" style="1" customWidth="1"/>
    <col min="8162" max="8162" width="8.85546875" style="1" customWidth="1"/>
    <col min="8163" max="8163" width="8.42578125" style="1" customWidth="1"/>
    <col min="8164" max="8404" width="9.140625" style="1"/>
    <col min="8405" max="8405" width="8.5703125" style="1" customWidth="1"/>
    <col min="8406" max="8406" width="7.140625" style="1" customWidth="1"/>
    <col min="8407" max="8407" width="42.140625" style="1" customWidth="1"/>
    <col min="8408" max="8409" width="9.140625" style="1" customWidth="1"/>
    <col min="8410" max="8410" width="8.85546875" style="1" customWidth="1"/>
    <col min="8411" max="8412" width="8.42578125" style="1" customWidth="1"/>
    <col min="8413" max="8413" width="8.140625" style="1" customWidth="1"/>
    <col min="8414" max="8414" width="11.140625" style="1" customWidth="1"/>
    <col min="8415" max="8415" width="8.5703125" style="1" customWidth="1"/>
    <col min="8416" max="8416" width="9.140625" style="1" customWidth="1"/>
    <col min="8417" max="8417" width="9.5703125" style="1" customWidth="1"/>
    <col min="8418" max="8418" width="8.85546875" style="1" customWidth="1"/>
    <col min="8419" max="8419" width="8.42578125" style="1" customWidth="1"/>
    <col min="8420" max="8660" width="9.140625" style="1"/>
    <col min="8661" max="8661" width="8.5703125" style="1" customWidth="1"/>
    <col min="8662" max="8662" width="7.140625" style="1" customWidth="1"/>
    <col min="8663" max="8663" width="42.140625" style="1" customWidth="1"/>
    <col min="8664" max="8665" width="9.140625" style="1" customWidth="1"/>
    <col min="8666" max="8666" width="8.85546875" style="1" customWidth="1"/>
    <col min="8667" max="8668" width="8.42578125" style="1" customWidth="1"/>
    <col min="8669" max="8669" width="8.140625" style="1" customWidth="1"/>
    <col min="8670" max="8670" width="11.140625" style="1" customWidth="1"/>
    <col min="8671" max="8671" width="8.5703125" style="1" customWidth="1"/>
    <col min="8672" max="8672" width="9.140625" style="1" customWidth="1"/>
    <col min="8673" max="8673" width="9.5703125" style="1" customWidth="1"/>
    <col min="8674" max="8674" width="8.85546875" style="1" customWidth="1"/>
    <col min="8675" max="8675" width="8.42578125" style="1" customWidth="1"/>
    <col min="8676" max="8916" width="9.140625" style="1"/>
    <col min="8917" max="8917" width="8.5703125" style="1" customWidth="1"/>
    <col min="8918" max="8918" width="7.140625" style="1" customWidth="1"/>
    <col min="8919" max="8919" width="42.140625" style="1" customWidth="1"/>
    <col min="8920" max="8921" width="9.140625" style="1" customWidth="1"/>
    <col min="8922" max="8922" width="8.85546875" style="1" customWidth="1"/>
    <col min="8923" max="8924" width="8.42578125" style="1" customWidth="1"/>
    <col min="8925" max="8925" width="8.140625" style="1" customWidth="1"/>
    <col min="8926" max="8926" width="11.140625" style="1" customWidth="1"/>
    <col min="8927" max="8927" width="8.5703125" style="1" customWidth="1"/>
    <col min="8928" max="8928" width="9.140625" style="1" customWidth="1"/>
    <col min="8929" max="8929" width="9.5703125" style="1" customWidth="1"/>
    <col min="8930" max="8930" width="8.85546875" style="1" customWidth="1"/>
    <col min="8931" max="8931" width="8.42578125" style="1" customWidth="1"/>
    <col min="8932" max="9172" width="9.140625" style="1"/>
    <col min="9173" max="9173" width="8.5703125" style="1" customWidth="1"/>
    <col min="9174" max="9174" width="7.140625" style="1" customWidth="1"/>
    <col min="9175" max="9175" width="42.140625" style="1" customWidth="1"/>
    <col min="9176" max="9177" width="9.140625" style="1" customWidth="1"/>
    <col min="9178" max="9178" width="8.85546875" style="1" customWidth="1"/>
    <col min="9179" max="9180" width="8.42578125" style="1" customWidth="1"/>
    <col min="9181" max="9181" width="8.140625" style="1" customWidth="1"/>
    <col min="9182" max="9182" width="11.140625" style="1" customWidth="1"/>
    <col min="9183" max="9183" width="8.5703125" style="1" customWidth="1"/>
    <col min="9184" max="9184" width="9.140625" style="1" customWidth="1"/>
    <col min="9185" max="9185" width="9.5703125" style="1" customWidth="1"/>
    <col min="9186" max="9186" width="8.85546875" style="1" customWidth="1"/>
    <col min="9187" max="9187" width="8.42578125" style="1" customWidth="1"/>
    <col min="9188" max="9428" width="9.140625" style="1"/>
    <col min="9429" max="9429" width="8.5703125" style="1" customWidth="1"/>
    <col min="9430" max="9430" width="7.140625" style="1" customWidth="1"/>
    <col min="9431" max="9431" width="42.140625" style="1" customWidth="1"/>
    <col min="9432" max="9433" width="9.140625" style="1" customWidth="1"/>
    <col min="9434" max="9434" width="8.85546875" style="1" customWidth="1"/>
    <col min="9435" max="9436" width="8.42578125" style="1" customWidth="1"/>
    <col min="9437" max="9437" width="8.140625" style="1" customWidth="1"/>
    <col min="9438" max="9438" width="11.140625" style="1" customWidth="1"/>
    <col min="9439" max="9439" width="8.5703125" style="1" customWidth="1"/>
    <col min="9440" max="9440" width="9.140625" style="1" customWidth="1"/>
    <col min="9441" max="9441" width="9.5703125" style="1" customWidth="1"/>
    <col min="9442" max="9442" width="8.85546875" style="1" customWidth="1"/>
    <col min="9443" max="9443" width="8.42578125" style="1" customWidth="1"/>
    <col min="9444" max="9684" width="9.140625" style="1"/>
    <col min="9685" max="9685" width="8.5703125" style="1" customWidth="1"/>
    <col min="9686" max="9686" width="7.140625" style="1" customWidth="1"/>
    <col min="9687" max="9687" width="42.140625" style="1" customWidth="1"/>
    <col min="9688" max="9689" width="9.140625" style="1" customWidth="1"/>
    <col min="9690" max="9690" width="8.85546875" style="1" customWidth="1"/>
    <col min="9691" max="9692" width="8.42578125" style="1" customWidth="1"/>
    <col min="9693" max="9693" width="8.140625" style="1" customWidth="1"/>
    <col min="9694" max="9694" width="11.140625" style="1" customWidth="1"/>
    <col min="9695" max="9695" width="8.5703125" style="1" customWidth="1"/>
    <col min="9696" max="9696" width="9.140625" style="1" customWidth="1"/>
    <col min="9697" max="9697" width="9.5703125" style="1" customWidth="1"/>
    <col min="9698" max="9698" width="8.85546875" style="1" customWidth="1"/>
    <col min="9699" max="9699" width="8.42578125" style="1" customWidth="1"/>
    <col min="9700" max="9940" width="9.140625" style="1"/>
    <col min="9941" max="9941" width="8.5703125" style="1" customWidth="1"/>
    <col min="9942" max="9942" width="7.140625" style="1" customWidth="1"/>
    <col min="9943" max="9943" width="42.140625" style="1" customWidth="1"/>
    <col min="9944" max="9945" width="9.140625" style="1" customWidth="1"/>
    <col min="9946" max="9946" width="8.85546875" style="1" customWidth="1"/>
    <col min="9947" max="9948" width="8.42578125" style="1" customWidth="1"/>
    <col min="9949" max="9949" width="8.140625" style="1" customWidth="1"/>
    <col min="9950" max="9950" width="11.140625" style="1" customWidth="1"/>
    <col min="9951" max="9951" width="8.5703125" style="1" customWidth="1"/>
    <col min="9952" max="9952" width="9.140625" style="1" customWidth="1"/>
    <col min="9953" max="9953" width="9.5703125" style="1" customWidth="1"/>
    <col min="9954" max="9954" width="8.85546875" style="1" customWidth="1"/>
    <col min="9955" max="9955" width="8.42578125" style="1" customWidth="1"/>
    <col min="9956" max="10196" width="9.140625" style="1"/>
    <col min="10197" max="10197" width="8.5703125" style="1" customWidth="1"/>
    <col min="10198" max="10198" width="7.140625" style="1" customWidth="1"/>
    <col min="10199" max="10199" width="42.140625" style="1" customWidth="1"/>
    <col min="10200" max="10201" width="9.140625" style="1" customWidth="1"/>
    <col min="10202" max="10202" width="8.85546875" style="1" customWidth="1"/>
    <col min="10203" max="10204" width="8.42578125" style="1" customWidth="1"/>
    <col min="10205" max="10205" width="8.140625" style="1" customWidth="1"/>
    <col min="10206" max="10206" width="11.140625" style="1" customWidth="1"/>
    <col min="10207" max="10207" width="8.5703125" style="1" customWidth="1"/>
    <col min="10208" max="10208" width="9.140625" style="1" customWidth="1"/>
    <col min="10209" max="10209" width="9.5703125" style="1" customWidth="1"/>
    <col min="10210" max="10210" width="8.85546875" style="1" customWidth="1"/>
    <col min="10211" max="10211" width="8.42578125" style="1" customWidth="1"/>
    <col min="10212" max="10452" width="9.140625" style="1"/>
    <col min="10453" max="10453" width="8.5703125" style="1" customWidth="1"/>
    <col min="10454" max="10454" width="7.140625" style="1" customWidth="1"/>
    <col min="10455" max="10455" width="42.140625" style="1" customWidth="1"/>
    <col min="10456" max="10457" width="9.140625" style="1" customWidth="1"/>
    <col min="10458" max="10458" width="8.85546875" style="1" customWidth="1"/>
    <col min="10459" max="10460" width="8.42578125" style="1" customWidth="1"/>
    <col min="10461" max="10461" width="8.140625" style="1" customWidth="1"/>
    <col min="10462" max="10462" width="11.140625" style="1" customWidth="1"/>
    <col min="10463" max="10463" width="8.5703125" style="1" customWidth="1"/>
    <col min="10464" max="10464" width="9.140625" style="1" customWidth="1"/>
    <col min="10465" max="10465" width="9.5703125" style="1" customWidth="1"/>
    <col min="10466" max="10466" width="8.85546875" style="1" customWidth="1"/>
    <col min="10467" max="10467" width="8.42578125" style="1" customWidth="1"/>
    <col min="10468" max="10708" width="9.140625" style="1"/>
    <col min="10709" max="10709" width="8.5703125" style="1" customWidth="1"/>
    <col min="10710" max="10710" width="7.140625" style="1" customWidth="1"/>
    <col min="10711" max="10711" width="42.140625" style="1" customWidth="1"/>
    <col min="10712" max="10713" width="9.140625" style="1" customWidth="1"/>
    <col min="10714" max="10714" width="8.85546875" style="1" customWidth="1"/>
    <col min="10715" max="10716" width="8.42578125" style="1" customWidth="1"/>
    <col min="10717" max="10717" width="8.140625" style="1" customWidth="1"/>
    <col min="10718" max="10718" width="11.140625" style="1" customWidth="1"/>
    <col min="10719" max="10719" width="8.5703125" style="1" customWidth="1"/>
    <col min="10720" max="10720" width="9.140625" style="1" customWidth="1"/>
    <col min="10721" max="10721" width="9.5703125" style="1" customWidth="1"/>
    <col min="10722" max="10722" width="8.85546875" style="1" customWidth="1"/>
    <col min="10723" max="10723" width="8.42578125" style="1" customWidth="1"/>
    <col min="10724" max="10964" width="9.140625" style="1"/>
    <col min="10965" max="10965" width="8.5703125" style="1" customWidth="1"/>
    <col min="10966" max="10966" width="7.140625" style="1" customWidth="1"/>
    <col min="10967" max="10967" width="42.140625" style="1" customWidth="1"/>
    <col min="10968" max="10969" width="9.140625" style="1" customWidth="1"/>
    <col min="10970" max="10970" width="8.85546875" style="1" customWidth="1"/>
    <col min="10971" max="10972" width="8.42578125" style="1" customWidth="1"/>
    <col min="10973" max="10973" width="8.140625" style="1" customWidth="1"/>
    <col min="10974" max="10974" width="11.140625" style="1" customWidth="1"/>
    <col min="10975" max="10975" width="8.5703125" style="1" customWidth="1"/>
    <col min="10976" max="10976" width="9.140625" style="1" customWidth="1"/>
    <col min="10977" max="10977" width="9.5703125" style="1" customWidth="1"/>
    <col min="10978" max="10978" width="8.85546875" style="1" customWidth="1"/>
    <col min="10979" max="10979" width="8.42578125" style="1" customWidth="1"/>
    <col min="10980" max="11220" width="9.140625" style="1"/>
    <col min="11221" max="11221" width="8.5703125" style="1" customWidth="1"/>
    <col min="11222" max="11222" width="7.140625" style="1" customWidth="1"/>
    <col min="11223" max="11223" width="42.140625" style="1" customWidth="1"/>
    <col min="11224" max="11225" width="9.140625" style="1" customWidth="1"/>
    <col min="11226" max="11226" width="8.85546875" style="1" customWidth="1"/>
    <col min="11227" max="11228" width="8.42578125" style="1" customWidth="1"/>
    <col min="11229" max="11229" width="8.140625" style="1" customWidth="1"/>
    <col min="11230" max="11230" width="11.140625" style="1" customWidth="1"/>
    <col min="11231" max="11231" width="8.5703125" style="1" customWidth="1"/>
    <col min="11232" max="11232" width="9.140625" style="1" customWidth="1"/>
    <col min="11233" max="11233" width="9.5703125" style="1" customWidth="1"/>
    <col min="11234" max="11234" width="8.85546875" style="1" customWidth="1"/>
    <col min="11235" max="11235" width="8.42578125" style="1" customWidth="1"/>
    <col min="11236" max="11476" width="9.140625" style="1"/>
    <col min="11477" max="11477" width="8.5703125" style="1" customWidth="1"/>
    <col min="11478" max="11478" width="7.140625" style="1" customWidth="1"/>
    <col min="11479" max="11479" width="42.140625" style="1" customWidth="1"/>
    <col min="11480" max="11481" width="9.140625" style="1" customWidth="1"/>
    <col min="11482" max="11482" width="8.85546875" style="1" customWidth="1"/>
    <col min="11483" max="11484" width="8.42578125" style="1" customWidth="1"/>
    <col min="11485" max="11485" width="8.140625" style="1" customWidth="1"/>
    <col min="11486" max="11486" width="11.140625" style="1" customWidth="1"/>
    <col min="11487" max="11487" width="8.5703125" style="1" customWidth="1"/>
    <col min="11488" max="11488" width="9.140625" style="1" customWidth="1"/>
    <col min="11489" max="11489" width="9.5703125" style="1" customWidth="1"/>
    <col min="11490" max="11490" width="8.85546875" style="1" customWidth="1"/>
    <col min="11491" max="11491" width="8.42578125" style="1" customWidth="1"/>
    <col min="11492" max="11732" width="9.140625" style="1"/>
    <col min="11733" max="11733" width="8.5703125" style="1" customWidth="1"/>
    <col min="11734" max="11734" width="7.140625" style="1" customWidth="1"/>
    <col min="11735" max="11735" width="42.140625" style="1" customWidth="1"/>
    <col min="11736" max="11737" width="9.140625" style="1" customWidth="1"/>
    <col min="11738" max="11738" width="8.85546875" style="1" customWidth="1"/>
    <col min="11739" max="11740" width="8.42578125" style="1" customWidth="1"/>
    <col min="11741" max="11741" width="8.140625" style="1" customWidth="1"/>
    <col min="11742" max="11742" width="11.140625" style="1" customWidth="1"/>
    <col min="11743" max="11743" width="8.5703125" style="1" customWidth="1"/>
    <col min="11744" max="11744" width="9.140625" style="1" customWidth="1"/>
    <col min="11745" max="11745" width="9.5703125" style="1" customWidth="1"/>
    <col min="11746" max="11746" width="8.85546875" style="1" customWidth="1"/>
    <col min="11747" max="11747" width="8.42578125" style="1" customWidth="1"/>
    <col min="11748" max="11988" width="9.140625" style="1"/>
    <col min="11989" max="11989" width="8.5703125" style="1" customWidth="1"/>
    <col min="11990" max="11990" width="7.140625" style="1" customWidth="1"/>
    <col min="11991" max="11991" width="42.140625" style="1" customWidth="1"/>
    <col min="11992" max="11993" width="9.140625" style="1" customWidth="1"/>
    <col min="11994" max="11994" width="8.85546875" style="1" customWidth="1"/>
    <col min="11995" max="11996" width="8.42578125" style="1" customWidth="1"/>
    <col min="11997" max="11997" width="8.140625" style="1" customWidth="1"/>
    <col min="11998" max="11998" width="11.140625" style="1" customWidth="1"/>
    <col min="11999" max="11999" width="8.5703125" style="1" customWidth="1"/>
    <col min="12000" max="12000" width="9.140625" style="1" customWidth="1"/>
    <col min="12001" max="12001" width="9.5703125" style="1" customWidth="1"/>
    <col min="12002" max="12002" width="8.85546875" style="1" customWidth="1"/>
    <col min="12003" max="12003" width="8.42578125" style="1" customWidth="1"/>
    <col min="12004" max="12244" width="9.140625" style="1"/>
    <col min="12245" max="12245" width="8.5703125" style="1" customWidth="1"/>
    <col min="12246" max="12246" width="7.140625" style="1" customWidth="1"/>
    <col min="12247" max="12247" width="42.140625" style="1" customWidth="1"/>
    <col min="12248" max="12249" width="9.140625" style="1" customWidth="1"/>
    <col min="12250" max="12250" width="8.85546875" style="1" customWidth="1"/>
    <col min="12251" max="12252" width="8.42578125" style="1" customWidth="1"/>
    <col min="12253" max="12253" width="8.140625" style="1" customWidth="1"/>
    <col min="12254" max="12254" width="11.140625" style="1" customWidth="1"/>
    <col min="12255" max="12255" width="8.5703125" style="1" customWidth="1"/>
    <col min="12256" max="12256" width="9.140625" style="1" customWidth="1"/>
    <col min="12257" max="12257" width="9.5703125" style="1" customWidth="1"/>
    <col min="12258" max="12258" width="8.85546875" style="1" customWidth="1"/>
    <col min="12259" max="12259" width="8.42578125" style="1" customWidth="1"/>
    <col min="12260" max="12500" width="9.140625" style="1"/>
    <col min="12501" max="12501" width="8.5703125" style="1" customWidth="1"/>
    <col min="12502" max="12502" width="7.140625" style="1" customWidth="1"/>
    <col min="12503" max="12503" width="42.140625" style="1" customWidth="1"/>
    <col min="12504" max="12505" width="9.140625" style="1" customWidth="1"/>
    <col min="12506" max="12506" width="8.85546875" style="1" customWidth="1"/>
    <col min="12507" max="12508" width="8.42578125" style="1" customWidth="1"/>
    <col min="12509" max="12509" width="8.140625" style="1" customWidth="1"/>
    <col min="12510" max="12510" width="11.140625" style="1" customWidth="1"/>
    <col min="12511" max="12511" width="8.5703125" style="1" customWidth="1"/>
    <col min="12512" max="12512" width="9.140625" style="1" customWidth="1"/>
    <col min="12513" max="12513" width="9.5703125" style="1" customWidth="1"/>
    <col min="12514" max="12514" width="8.85546875" style="1" customWidth="1"/>
    <col min="12515" max="12515" width="8.42578125" style="1" customWidth="1"/>
    <col min="12516" max="12756" width="9.140625" style="1"/>
    <col min="12757" max="12757" width="8.5703125" style="1" customWidth="1"/>
    <col min="12758" max="12758" width="7.140625" style="1" customWidth="1"/>
    <col min="12759" max="12759" width="42.140625" style="1" customWidth="1"/>
    <col min="12760" max="12761" width="9.140625" style="1" customWidth="1"/>
    <col min="12762" max="12762" width="8.85546875" style="1" customWidth="1"/>
    <col min="12763" max="12764" width="8.42578125" style="1" customWidth="1"/>
    <col min="12765" max="12765" width="8.140625" style="1" customWidth="1"/>
    <col min="12766" max="12766" width="11.140625" style="1" customWidth="1"/>
    <col min="12767" max="12767" width="8.5703125" style="1" customWidth="1"/>
    <col min="12768" max="12768" width="9.140625" style="1" customWidth="1"/>
    <col min="12769" max="12769" width="9.5703125" style="1" customWidth="1"/>
    <col min="12770" max="12770" width="8.85546875" style="1" customWidth="1"/>
    <col min="12771" max="12771" width="8.42578125" style="1" customWidth="1"/>
    <col min="12772" max="13012" width="9.140625" style="1"/>
    <col min="13013" max="13013" width="8.5703125" style="1" customWidth="1"/>
    <col min="13014" max="13014" width="7.140625" style="1" customWidth="1"/>
    <col min="13015" max="13015" width="42.140625" style="1" customWidth="1"/>
    <col min="13016" max="13017" width="9.140625" style="1" customWidth="1"/>
    <col min="13018" max="13018" width="8.85546875" style="1" customWidth="1"/>
    <col min="13019" max="13020" width="8.42578125" style="1" customWidth="1"/>
    <col min="13021" max="13021" width="8.140625" style="1" customWidth="1"/>
    <col min="13022" max="13022" width="11.140625" style="1" customWidth="1"/>
    <col min="13023" max="13023" width="8.5703125" style="1" customWidth="1"/>
    <col min="13024" max="13024" width="9.140625" style="1" customWidth="1"/>
    <col min="13025" max="13025" width="9.5703125" style="1" customWidth="1"/>
    <col min="13026" max="13026" width="8.85546875" style="1" customWidth="1"/>
    <col min="13027" max="13027" width="8.42578125" style="1" customWidth="1"/>
    <col min="13028" max="13268" width="9.140625" style="1"/>
    <col min="13269" max="13269" width="8.5703125" style="1" customWidth="1"/>
    <col min="13270" max="13270" width="7.140625" style="1" customWidth="1"/>
    <col min="13271" max="13271" width="42.140625" style="1" customWidth="1"/>
    <col min="13272" max="13273" width="9.140625" style="1" customWidth="1"/>
    <col min="13274" max="13274" width="8.85546875" style="1" customWidth="1"/>
    <col min="13275" max="13276" width="8.42578125" style="1" customWidth="1"/>
    <col min="13277" max="13277" width="8.140625" style="1" customWidth="1"/>
    <col min="13278" max="13278" width="11.140625" style="1" customWidth="1"/>
    <col min="13279" max="13279" width="8.5703125" style="1" customWidth="1"/>
    <col min="13280" max="13280" width="9.140625" style="1" customWidth="1"/>
    <col min="13281" max="13281" width="9.5703125" style="1" customWidth="1"/>
    <col min="13282" max="13282" width="8.85546875" style="1" customWidth="1"/>
    <col min="13283" max="13283" width="8.42578125" style="1" customWidth="1"/>
    <col min="13284" max="13524" width="9.140625" style="1"/>
    <col min="13525" max="13525" width="8.5703125" style="1" customWidth="1"/>
    <col min="13526" max="13526" width="7.140625" style="1" customWidth="1"/>
    <col min="13527" max="13527" width="42.140625" style="1" customWidth="1"/>
    <col min="13528" max="13529" width="9.140625" style="1" customWidth="1"/>
    <col min="13530" max="13530" width="8.85546875" style="1" customWidth="1"/>
    <col min="13531" max="13532" width="8.42578125" style="1" customWidth="1"/>
    <col min="13533" max="13533" width="8.140625" style="1" customWidth="1"/>
    <col min="13534" max="13534" width="11.140625" style="1" customWidth="1"/>
    <col min="13535" max="13535" width="8.5703125" style="1" customWidth="1"/>
    <col min="13536" max="13536" width="9.140625" style="1" customWidth="1"/>
    <col min="13537" max="13537" width="9.5703125" style="1" customWidth="1"/>
    <col min="13538" max="13538" width="8.85546875" style="1" customWidth="1"/>
    <col min="13539" max="13539" width="8.42578125" style="1" customWidth="1"/>
    <col min="13540" max="13780" width="9.140625" style="1"/>
    <col min="13781" max="13781" width="8.5703125" style="1" customWidth="1"/>
    <col min="13782" max="13782" width="7.140625" style="1" customWidth="1"/>
    <col min="13783" max="13783" width="42.140625" style="1" customWidth="1"/>
    <col min="13784" max="13785" width="9.140625" style="1" customWidth="1"/>
    <col min="13786" max="13786" width="8.85546875" style="1" customWidth="1"/>
    <col min="13787" max="13788" width="8.42578125" style="1" customWidth="1"/>
    <col min="13789" max="13789" width="8.140625" style="1" customWidth="1"/>
    <col min="13790" max="13790" width="11.140625" style="1" customWidth="1"/>
    <col min="13791" max="13791" width="8.5703125" style="1" customWidth="1"/>
    <col min="13792" max="13792" width="9.140625" style="1" customWidth="1"/>
    <col min="13793" max="13793" width="9.5703125" style="1" customWidth="1"/>
    <col min="13794" max="13794" width="8.85546875" style="1" customWidth="1"/>
    <col min="13795" max="13795" width="8.42578125" style="1" customWidth="1"/>
    <col min="13796" max="14036" width="9.140625" style="1"/>
    <col min="14037" max="14037" width="8.5703125" style="1" customWidth="1"/>
    <col min="14038" max="14038" width="7.140625" style="1" customWidth="1"/>
    <col min="14039" max="14039" width="42.140625" style="1" customWidth="1"/>
    <col min="14040" max="14041" width="9.140625" style="1" customWidth="1"/>
    <col min="14042" max="14042" width="8.85546875" style="1" customWidth="1"/>
    <col min="14043" max="14044" width="8.42578125" style="1" customWidth="1"/>
    <col min="14045" max="14045" width="8.140625" style="1" customWidth="1"/>
    <col min="14046" max="14046" width="11.140625" style="1" customWidth="1"/>
    <col min="14047" max="14047" width="8.5703125" style="1" customWidth="1"/>
    <col min="14048" max="14048" width="9.140625" style="1" customWidth="1"/>
    <col min="14049" max="14049" width="9.5703125" style="1" customWidth="1"/>
    <col min="14050" max="14050" width="8.85546875" style="1" customWidth="1"/>
    <col min="14051" max="14051" width="8.42578125" style="1" customWidth="1"/>
    <col min="14052" max="14292" width="9.140625" style="1"/>
    <col min="14293" max="14293" width="8.5703125" style="1" customWidth="1"/>
    <col min="14294" max="14294" width="7.140625" style="1" customWidth="1"/>
    <col min="14295" max="14295" width="42.140625" style="1" customWidth="1"/>
    <col min="14296" max="14297" width="9.140625" style="1" customWidth="1"/>
    <col min="14298" max="14298" width="8.85546875" style="1" customWidth="1"/>
    <col min="14299" max="14300" width="8.42578125" style="1" customWidth="1"/>
    <col min="14301" max="14301" width="8.140625" style="1" customWidth="1"/>
    <col min="14302" max="14302" width="11.140625" style="1" customWidth="1"/>
    <col min="14303" max="14303" width="8.5703125" style="1" customWidth="1"/>
    <col min="14304" max="14304" width="9.140625" style="1" customWidth="1"/>
    <col min="14305" max="14305" width="9.5703125" style="1" customWidth="1"/>
    <col min="14306" max="14306" width="8.85546875" style="1" customWidth="1"/>
    <col min="14307" max="14307" width="8.42578125" style="1" customWidth="1"/>
    <col min="14308" max="14548" width="9.140625" style="1"/>
    <col min="14549" max="14549" width="8.5703125" style="1" customWidth="1"/>
    <col min="14550" max="14550" width="7.140625" style="1" customWidth="1"/>
    <col min="14551" max="14551" width="42.140625" style="1" customWidth="1"/>
    <col min="14552" max="14553" width="9.140625" style="1" customWidth="1"/>
    <col min="14554" max="14554" width="8.85546875" style="1" customWidth="1"/>
    <col min="14555" max="14556" width="8.42578125" style="1" customWidth="1"/>
    <col min="14557" max="14557" width="8.140625" style="1" customWidth="1"/>
    <col min="14558" max="14558" width="11.140625" style="1" customWidth="1"/>
    <col min="14559" max="14559" width="8.5703125" style="1" customWidth="1"/>
    <col min="14560" max="14560" width="9.140625" style="1" customWidth="1"/>
    <col min="14561" max="14561" width="9.5703125" style="1" customWidth="1"/>
    <col min="14562" max="14562" width="8.85546875" style="1" customWidth="1"/>
    <col min="14563" max="14563" width="8.42578125" style="1" customWidth="1"/>
    <col min="14564" max="14804" width="9.140625" style="1"/>
    <col min="14805" max="14805" width="8.5703125" style="1" customWidth="1"/>
    <col min="14806" max="14806" width="7.140625" style="1" customWidth="1"/>
    <col min="14807" max="14807" width="42.140625" style="1" customWidth="1"/>
    <col min="14808" max="14809" width="9.140625" style="1" customWidth="1"/>
    <col min="14810" max="14810" width="8.85546875" style="1" customWidth="1"/>
    <col min="14811" max="14812" width="8.42578125" style="1" customWidth="1"/>
    <col min="14813" max="14813" width="8.140625" style="1" customWidth="1"/>
    <col min="14814" max="14814" width="11.140625" style="1" customWidth="1"/>
    <col min="14815" max="14815" width="8.5703125" style="1" customWidth="1"/>
    <col min="14816" max="14816" width="9.140625" style="1" customWidth="1"/>
    <col min="14817" max="14817" width="9.5703125" style="1" customWidth="1"/>
    <col min="14818" max="14818" width="8.85546875" style="1" customWidth="1"/>
    <col min="14819" max="14819" width="8.42578125" style="1" customWidth="1"/>
    <col min="14820" max="15060" width="9.140625" style="1"/>
    <col min="15061" max="15061" width="8.5703125" style="1" customWidth="1"/>
    <col min="15062" max="15062" width="7.140625" style="1" customWidth="1"/>
    <col min="15063" max="15063" width="42.140625" style="1" customWidth="1"/>
    <col min="15064" max="15065" width="9.140625" style="1" customWidth="1"/>
    <col min="15066" max="15066" width="8.85546875" style="1" customWidth="1"/>
    <col min="15067" max="15068" width="8.42578125" style="1" customWidth="1"/>
    <col min="15069" max="15069" width="8.140625" style="1" customWidth="1"/>
    <col min="15070" max="15070" width="11.140625" style="1" customWidth="1"/>
    <col min="15071" max="15071" width="8.5703125" style="1" customWidth="1"/>
    <col min="15072" max="15072" width="9.140625" style="1" customWidth="1"/>
    <col min="15073" max="15073" width="9.5703125" style="1" customWidth="1"/>
    <col min="15074" max="15074" width="8.85546875" style="1" customWidth="1"/>
    <col min="15075" max="15075" width="8.42578125" style="1" customWidth="1"/>
    <col min="15076" max="15316" width="9.140625" style="1"/>
    <col min="15317" max="15317" width="8.5703125" style="1" customWidth="1"/>
    <col min="15318" max="15318" width="7.140625" style="1" customWidth="1"/>
    <col min="15319" max="15319" width="42.140625" style="1" customWidth="1"/>
    <col min="15320" max="15321" width="9.140625" style="1" customWidth="1"/>
    <col min="15322" max="15322" width="8.85546875" style="1" customWidth="1"/>
    <col min="15323" max="15324" width="8.42578125" style="1" customWidth="1"/>
    <col min="15325" max="15325" width="8.140625" style="1" customWidth="1"/>
    <col min="15326" max="15326" width="11.140625" style="1" customWidth="1"/>
    <col min="15327" max="15327" width="8.5703125" style="1" customWidth="1"/>
    <col min="15328" max="15328" width="9.140625" style="1" customWidth="1"/>
    <col min="15329" max="15329" width="9.5703125" style="1" customWidth="1"/>
    <col min="15330" max="15330" width="8.85546875" style="1" customWidth="1"/>
    <col min="15331" max="15331" width="8.42578125" style="1" customWidth="1"/>
    <col min="15332" max="15572" width="9.140625" style="1"/>
    <col min="15573" max="15573" width="8.5703125" style="1" customWidth="1"/>
    <col min="15574" max="15574" width="7.140625" style="1" customWidth="1"/>
    <col min="15575" max="15575" width="42.140625" style="1" customWidth="1"/>
    <col min="15576" max="15577" width="9.140625" style="1" customWidth="1"/>
    <col min="15578" max="15578" width="8.85546875" style="1" customWidth="1"/>
    <col min="15579" max="15580" width="8.42578125" style="1" customWidth="1"/>
    <col min="15581" max="15581" width="8.140625" style="1" customWidth="1"/>
    <col min="15582" max="15582" width="11.140625" style="1" customWidth="1"/>
    <col min="15583" max="15583" width="8.5703125" style="1" customWidth="1"/>
    <col min="15584" max="15584" width="9.140625" style="1" customWidth="1"/>
    <col min="15585" max="15585" width="9.5703125" style="1" customWidth="1"/>
    <col min="15586" max="15586" width="8.85546875" style="1" customWidth="1"/>
    <col min="15587" max="15587" width="8.42578125" style="1" customWidth="1"/>
    <col min="15588" max="15828" width="9.140625" style="1"/>
    <col min="15829" max="15829" width="8.5703125" style="1" customWidth="1"/>
    <col min="15830" max="15830" width="7.140625" style="1" customWidth="1"/>
    <col min="15831" max="15831" width="42.140625" style="1" customWidth="1"/>
    <col min="15832" max="15833" width="9.140625" style="1" customWidth="1"/>
    <col min="15834" max="15834" width="8.85546875" style="1" customWidth="1"/>
    <col min="15835" max="15836" width="8.42578125" style="1" customWidth="1"/>
    <col min="15837" max="15837" width="8.140625" style="1" customWidth="1"/>
    <col min="15838" max="15838" width="11.140625" style="1" customWidth="1"/>
    <col min="15839" max="15839" width="8.5703125" style="1" customWidth="1"/>
    <col min="15840" max="15840" width="9.140625" style="1" customWidth="1"/>
    <col min="15841" max="15841" width="9.5703125" style="1" customWidth="1"/>
    <col min="15842" max="15842" width="8.85546875" style="1" customWidth="1"/>
    <col min="15843" max="15843" width="8.42578125" style="1" customWidth="1"/>
    <col min="15844" max="16084" width="9.140625" style="1"/>
    <col min="16085" max="16085" width="8.5703125" style="1" customWidth="1"/>
    <col min="16086" max="16086" width="7.140625" style="1" customWidth="1"/>
    <col min="16087" max="16087" width="42.140625" style="1" customWidth="1"/>
    <col min="16088" max="16089" width="9.140625" style="1" customWidth="1"/>
    <col min="16090" max="16090" width="8.85546875" style="1" customWidth="1"/>
    <col min="16091" max="16092" width="8.42578125" style="1" customWidth="1"/>
    <col min="16093" max="16093" width="8.140625" style="1" customWidth="1"/>
    <col min="16094" max="16094" width="11.140625" style="1" customWidth="1"/>
    <col min="16095" max="16095" width="8.5703125" style="1" customWidth="1"/>
    <col min="16096" max="16096" width="9.140625" style="1" customWidth="1"/>
    <col min="16097" max="16097" width="9.5703125" style="1" customWidth="1"/>
    <col min="16098" max="16098" width="8.85546875" style="1" customWidth="1"/>
    <col min="16099" max="16099" width="8.42578125" style="1" customWidth="1"/>
    <col min="16100" max="16384" width="9.140625" style="1"/>
  </cols>
  <sheetData>
    <row r="1" spans="1:3" x14ac:dyDescent="0.25">
      <c r="C1" s="2" t="s">
        <v>203</v>
      </c>
    </row>
    <row r="2" spans="1:3" x14ac:dyDescent="0.25">
      <c r="B2" s="103" t="s">
        <v>0</v>
      </c>
    </row>
    <row r="3" spans="1:3" x14ac:dyDescent="0.25">
      <c r="A3" s="3" t="s">
        <v>328</v>
      </c>
      <c r="B3" s="3"/>
      <c r="C3" s="735"/>
    </row>
    <row r="4" spans="1:3" ht="29.25" x14ac:dyDescent="0.25">
      <c r="B4" s="73" t="s">
        <v>714</v>
      </c>
    </row>
    <row r="5" spans="1:3" s="6" customFormat="1" x14ac:dyDescent="0.25">
      <c r="A5" s="187" t="s">
        <v>329</v>
      </c>
      <c r="B5" s="188"/>
      <c r="C5" s="33" t="s">
        <v>173</v>
      </c>
    </row>
    <row r="6" spans="1:3" s="5" customFormat="1" ht="45.75" thickBot="1" x14ac:dyDescent="0.3">
      <c r="B6" s="73"/>
      <c r="C6" s="739" t="s">
        <v>667</v>
      </c>
    </row>
    <row r="7" spans="1:3" ht="19.5" thickBot="1" x14ac:dyDescent="0.35">
      <c r="A7" s="189" t="s">
        <v>7</v>
      </c>
      <c r="B7" s="750" t="s">
        <v>10</v>
      </c>
      <c r="C7" s="36" t="s">
        <v>716</v>
      </c>
    </row>
    <row r="8" spans="1:3" x14ac:dyDescent="0.25">
      <c r="A8" s="101">
        <v>1100</v>
      </c>
      <c r="B8" s="104" t="s">
        <v>11</v>
      </c>
      <c r="C8" s="757">
        <v>112763</v>
      </c>
    </row>
    <row r="9" spans="1:3" ht="45" x14ac:dyDescent="0.25">
      <c r="A9" s="42">
        <v>1200</v>
      </c>
      <c r="B9" s="43" t="s">
        <v>12</v>
      </c>
      <c r="C9" s="758">
        <v>34006</v>
      </c>
    </row>
    <row r="10" spans="1:3" x14ac:dyDescent="0.25">
      <c r="A10" s="42">
        <v>2000</v>
      </c>
      <c r="B10" s="43" t="s">
        <v>13</v>
      </c>
      <c r="C10" s="647">
        <f>SUM(C11+C12+C13+C14+C15)</f>
        <v>105716</v>
      </c>
    </row>
    <row r="11" spans="1:3" ht="30" x14ac:dyDescent="0.25">
      <c r="A11" s="42">
        <v>2100</v>
      </c>
      <c r="B11" s="43" t="s">
        <v>178</v>
      </c>
      <c r="C11" s="759">
        <v>1020</v>
      </c>
    </row>
    <row r="12" spans="1:3" x14ac:dyDescent="0.25">
      <c r="A12" s="42">
        <v>2200</v>
      </c>
      <c r="B12" s="43" t="s">
        <v>15</v>
      </c>
      <c r="C12" s="758">
        <v>85935</v>
      </c>
    </row>
    <row r="13" spans="1:3" s="7" customFormat="1" ht="30" x14ac:dyDescent="0.25">
      <c r="A13" s="42">
        <v>2300</v>
      </c>
      <c r="B13" s="43" t="s">
        <v>16</v>
      </c>
      <c r="C13" s="759">
        <v>18647</v>
      </c>
    </row>
    <row r="14" spans="1:3" x14ac:dyDescent="0.25">
      <c r="A14" s="42">
        <v>2400</v>
      </c>
      <c r="B14" s="83" t="s">
        <v>46</v>
      </c>
      <c r="C14" s="759"/>
    </row>
    <row r="15" spans="1:3" ht="30" x14ac:dyDescent="0.25">
      <c r="A15" s="42">
        <v>2500</v>
      </c>
      <c r="B15" s="43" t="s">
        <v>172</v>
      </c>
      <c r="C15" s="636">
        <v>114</v>
      </c>
    </row>
    <row r="16" spans="1:3" ht="30" x14ac:dyDescent="0.25">
      <c r="A16" s="42">
        <v>3200</v>
      </c>
      <c r="B16" s="43" t="s">
        <v>18</v>
      </c>
      <c r="C16" s="636"/>
    </row>
    <row r="17" spans="1:3" x14ac:dyDescent="0.25">
      <c r="A17" s="42">
        <v>4200</v>
      </c>
      <c r="B17" s="43" t="s">
        <v>19</v>
      </c>
      <c r="C17" s="636"/>
    </row>
    <row r="18" spans="1:3" x14ac:dyDescent="0.25">
      <c r="A18" s="42">
        <v>4300</v>
      </c>
      <c r="B18" s="43" t="s">
        <v>20</v>
      </c>
      <c r="C18" s="636"/>
    </row>
    <row r="19" spans="1:3" x14ac:dyDescent="0.25">
      <c r="A19" s="42">
        <v>5100</v>
      </c>
      <c r="B19" s="43" t="s">
        <v>22</v>
      </c>
      <c r="C19" s="636">
        <v>3800</v>
      </c>
    </row>
    <row r="20" spans="1:3" x14ac:dyDescent="0.25">
      <c r="A20" s="42">
        <v>5200</v>
      </c>
      <c r="B20" s="43" t="s">
        <v>23</v>
      </c>
      <c r="C20" s="636">
        <v>1000</v>
      </c>
    </row>
    <row r="21" spans="1:3" x14ac:dyDescent="0.25">
      <c r="A21" s="42">
        <v>6200</v>
      </c>
      <c r="B21" s="43" t="s">
        <v>24</v>
      </c>
      <c r="C21" s="636"/>
    </row>
    <row r="22" spans="1:3" ht="15.75" thickBot="1" x14ac:dyDescent="0.3">
      <c r="A22" s="325">
        <v>7200</v>
      </c>
      <c r="B22" s="191" t="s">
        <v>25</v>
      </c>
      <c r="C22" s="648"/>
    </row>
    <row r="23" spans="1:3" ht="15.75" thickBot="1" x14ac:dyDescent="0.3">
      <c r="A23" s="34"/>
      <c r="B23" s="107" t="s">
        <v>26</v>
      </c>
      <c r="C23" s="760">
        <f t="shared" ref="C23" si="0">SUM(C8+C9+C10+C16+C17+C18+C19+C20+C21+C22)</f>
        <v>257285</v>
      </c>
    </row>
    <row r="24" spans="1:3" x14ac:dyDescent="0.25">
      <c r="B24" s="32"/>
    </row>
    <row r="25" spans="1:3" x14ac:dyDescent="0.25">
      <c r="B25" s="32"/>
    </row>
    <row r="26" spans="1:3" x14ac:dyDescent="0.25">
      <c r="B26" s="103"/>
    </row>
    <row r="27" spans="1:3" x14ac:dyDescent="0.25">
      <c r="B27" s="5" t="s">
        <v>916</v>
      </c>
      <c r="C27" s="128"/>
    </row>
    <row r="29" spans="1:3" x14ac:dyDescent="0.25">
      <c r="C29" s="192"/>
    </row>
    <row r="30" spans="1:3" x14ac:dyDescent="0.25">
      <c r="B30" s="2"/>
      <c r="C30" s="136"/>
    </row>
    <row r="31" spans="1:3" x14ac:dyDescent="0.25">
      <c r="B31" s="210"/>
      <c r="C31" s="209"/>
    </row>
    <row r="32" spans="1:3" x14ac:dyDescent="0.25">
      <c r="B32" s="207"/>
      <c r="C32" s="438"/>
    </row>
    <row r="33" spans="1:3" x14ac:dyDescent="0.25">
      <c r="B33" s="103"/>
      <c r="C33" s="208"/>
    </row>
    <row r="34" spans="1:3" x14ac:dyDescent="0.25">
      <c r="B34" s="488"/>
      <c r="C34" s="192"/>
    </row>
    <row r="35" spans="1:3" x14ac:dyDescent="0.25">
      <c r="A35" s="736"/>
    </row>
    <row r="36" spans="1:3" x14ac:dyDescent="0.25">
      <c r="A36" s="6"/>
    </row>
    <row r="37" spans="1:3" x14ac:dyDescent="0.25">
      <c r="A37" s="6"/>
    </row>
    <row r="38" spans="1:3" x14ac:dyDescent="0.25">
      <c r="A38" s="6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J7" sqref="J7"/>
    </sheetView>
  </sheetViews>
  <sheetFormatPr defaultColWidth="9.140625" defaultRowHeight="12.75" x14ac:dyDescent="0.2"/>
  <cols>
    <col min="1" max="1" width="9.140625" style="19"/>
    <col min="2" max="2" width="40.42578125" style="19" customWidth="1"/>
    <col min="3" max="3" width="12.42578125" style="19" customWidth="1"/>
    <col min="4" max="16384" width="9.140625" style="19"/>
  </cols>
  <sheetData>
    <row r="1" spans="1:5" ht="15" x14ac:dyDescent="0.25">
      <c r="E1" s="2" t="s">
        <v>203</v>
      </c>
    </row>
    <row r="2" spans="1:5" ht="15" x14ac:dyDescent="0.25">
      <c r="A2" s="1"/>
      <c r="B2" s="2" t="s">
        <v>0</v>
      </c>
      <c r="C2" s="2"/>
    </row>
    <row r="3" spans="1:5" ht="15" x14ac:dyDescent="0.25">
      <c r="A3" s="1"/>
      <c r="B3" s="1"/>
      <c r="C3" s="1"/>
    </row>
    <row r="4" spans="1:5" ht="15" x14ac:dyDescent="0.25">
      <c r="A4" s="3" t="s">
        <v>505</v>
      </c>
      <c r="B4" s="1"/>
      <c r="C4" s="1"/>
    </row>
    <row r="5" spans="1:5" ht="15" x14ac:dyDescent="0.25">
      <c r="A5" s="1"/>
      <c r="B5" s="3" t="s">
        <v>714</v>
      </c>
      <c r="C5" s="3"/>
    </row>
    <row r="6" spans="1:5" ht="15" x14ac:dyDescent="0.25">
      <c r="A6" s="71" t="s">
        <v>91</v>
      </c>
      <c r="B6" s="72"/>
      <c r="C6" s="33" t="s">
        <v>501</v>
      </c>
    </row>
    <row r="7" spans="1:5" ht="75.75" thickBot="1" x14ac:dyDescent="0.3">
      <c r="A7" s="5"/>
      <c r="B7" s="73"/>
      <c r="C7" s="875" t="s">
        <v>502</v>
      </c>
      <c r="E7" s="20"/>
    </row>
    <row r="8" spans="1:5" ht="19.5" thickBot="1" x14ac:dyDescent="0.35">
      <c r="A8" s="70" t="s">
        <v>7</v>
      </c>
      <c r="B8" s="75" t="s">
        <v>10</v>
      </c>
      <c r="C8" s="373" t="s">
        <v>942</v>
      </c>
    </row>
    <row r="9" spans="1:5" ht="15.75" x14ac:dyDescent="0.25">
      <c r="A9" s="77">
        <v>1100</v>
      </c>
      <c r="B9" s="78" t="s">
        <v>11</v>
      </c>
      <c r="C9" s="374"/>
    </row>
    <row r="10" spans="1:5" ht="27.75" customHeight="1" x14ac:dyDescent="0.25">
      <c r="A10" s="82">
        <v>1200</v>
      </c>
      <c r="B10" s="83" t="s">
        <v>12</v>
      </c>
      <c r="C10" s="375"/>
    </row>
    <row r="11" spans="1:5" ht="15.75" x14ac:dyDescent="0.25">
      <c r="A11" s="82">
        <v>2000</v>
      </c>
      <c r="B11" s="50" t="s">
        <v>13</v>
      </c>
      <c r="C11" s="375">
        <f>C13</f>
        <v>9608</v>
      </c>
    </row>
    <row r="12" spans="1:5" ht="15.75" x14ac:dyDescent="0.25">
      <c r="A12" s="82">
        <v>2100</v>
      </c>
      <c r="B12" s="50" t="s">
        <v>14</v>
      </c>
      <c r="C12" s="375"/>
    </row>
    <row r="13" spans="1:5" ht="30" x14ac:dyDescent="0.25">
      <c r="A13" s="82">
        <v>2200</v>
      </c>
      <c r="B13" s="83" t="s">
        <v>943</v>
      </c>
      <c r="C13" s="375">
        <v>9608</v>
      </c>
    </row>
    <row r="14" spans="1:5" ht="27.75" customHeight="1" x14ac:dyDescent="0.25">
      <c r="A14" s="82">
        <v>2300</v>
      </c>
      <c r="B14" s="83" t="s">
        <v>16</v>
      </c>
      <c r="C14" s="375"/>
    </row>
    <row r="15" spans="1:5" ht="15.75" x14ac:dyDescent="0.25">
      <c r="A15" s="42">
        <v>2400</v>
      </c>
      <c r="B15" s="50" t="s">
        <v>47</v>
      </c>
      <c r="C15" s="375"/>
    </row>
    <row r="16" spans="1:5" ht="15.75" x14ac:dyDescent="0.25">
      <c r="A16" s="82">
        <v>2500</v>
      </c>
      <c r="B16" s="50" t="s">
        <v>17</v>
      </c>
      <c r="C16" s="375"/>
    </row>
    <row r="17" spans="1:3" ht="15.75" x14ac:dyDescent="0.25">
      <c r="A17" s="82">
        <v>3200</v>
      </c>
      <c r="B17" s="181" t="s">
        <v>135</v>
      </c>
      <c r="C17" s="375"/>
    </row>
    <row r="18" spans="1:3" ht="15.75" x14ac:dyDescent="0.25">
      <c r="A18" s="82">
        <v>4200</v>
      </c>
      <c r="B18" s="50" t="s">
        <v>19</v>
      </c>
      <c r="C18" s="375"/>
    </row>
    <row r="19" spans="1:3" ht="15.75" x14ac:dyDescent="0.25">
      <c r="A19" s="82">
        <v>4300</v>
      </c>
      <c r="B19" s="50" t="s">
        <v>20</v>
      </c>
      <c r="C19" s="375"/>
    </row>
    <row r="20" spans="1:3" ht="15.75" x14ac:dyDescent="0.25">
      <c r="A20" s="82">
        <v>5100</v>
      </c>
      <c r="B20" s="50" t="s">
        <v>22</v>
      </c>
      <c r="C20" s="375"/>
    </row>
    <row r="21" spans="1:3" ht="15.75" x14ac:dyDescent="0.25">
      <c r="A21" s="82">
        <v>5200</v>
      </c>
      <c r="B21" s="50" t="s">
        <v>23</v>
      </c>
      <c r="C21" s="375"/>
    </row>
    <row r="22" spans="1:3" ht="15.75" x14ac:dyDescent="0.25">
      <c r="A22" s="82">
        <v>6000</v>
      </c>
      <c r="B22" s="43" t="s">
        <v>44</v>
      </c>
      <c r="C22" s="375"/>
    </row>
    <row r="23" spans="1:3" ht="15.75" x14ac:dyDescent="0.25">
      <c r="A23" s="82">
        <v>6200</v>
      </c>
      <c r="B23" s="50" t="s">
        <v>24</v>
      </c>
      <c r="C23" s="375"/>
    </row>
    <row r="24" spans="1:3" ht="15.75" x14ac:dyDescent="0.25">
      <c r="A24" s="82">
        <v>6300</v>
      </c>
      <c r="B24" s="43" t="s">
        <v>45</v>
      </c>
      <c r="C24" s="375"/>
    </row>
    <row r="25" spans="1:3" ht="30" x14ac:dyDescent="0.25">
      <c r="A25" s="82">
        <v>6400</v>
      </c>
      <c r="B25" s="43" t="s">
        <v>59</v>
      </c>
      <c r="C25" s="375"/>
    </row>
    <row r="26" spans="1:3" ht="16.5" thickBot="1" x14ac:dyDescent="0.3">
      <c r="A26" s="82">
        <v>7200</v>
      </c>
      <c r="B26" s="50" t="s">
        <v>25</v>
      </c>
      <c r="C26" s="376"/>
    </row>
    <row r="27" spans="1:3" ht="16.5" thickBot="1" x14ac:dyDescent="0.3">
      <c r="A27" s="93"/>
      <c r="B27" s="94" t="s">
        <v>26</v>
      </c>
      <c r="C27" s="377">
        <f>C9+C10+C11+C17+C18+C19+C20+C21+C22+C23+C24+C25+C26</f>
        <v>9608</v>
      </c>
    </row>
    <row r="30" spans="1:3" ht="15" x14ac:dyDescent="0.25">
      <c r="B30" s="5" t="s">
        <v>946</v>
      </c>
      <c r="C30" s="5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zoomScale="96" zoomScaleNormal="96" workbookViewId="0">
      <selection activeCell="O8" sqref="O8"/>
    </sheetView>
  </sheetViews>
  <sheetFormatPr defaultColWidth="9.140625" defaultRowHeight="12.75" x14ac:dyDescent="0.2"/>
  <cols>
    <col min="1" max="1" width="9.140625" style="19"/>
    <col min="2" max="2" width="40.42578125" style="19" customWidth="1"/>
    <col min="3" max="3" width="14.42578125" style="19" customWidth="1"/>
    <col min="4" max="4" width="15" style="19" customWidth="1"/>
    <col min="5" max="5" width="17.140625" style="19" customWidth="1"/>
    <col min="6" max="6" width="11" style="19" customWidth="1"/>
    <col min="7" max="7" width="11.140625" style="19" customWidth="1"/>
    <col min="8" max="8" width="12" style="19" customWidth="1"/>
    <col min="9" max="9" width="11.140625" style="19" customWidth="1"/>
    <col min="10" max="10" width="11.5703125" style="19" customWidth="1"/>
    <col min="11" max="11" width="11.140625" style="19" customWidth="1"/>
    <col min="12" max="12" width="10.85546875" style="19" customWidth="1"/>
    <col min="13" max="16384" width="9.140625" style="19"/>
  </cols>
  <sheetData>
    <row r="1" spans="1:12" ht="15" x14ac:dyDescent="0.25">
      <c r="A1" s="1"/>
      <c r="B1" s="2" t="s">
        <v>0</v>
      </c>
      <c r="C1" s="2"/>
      <c r="D1" s="2"/>
      <c r="E1" s="2"/>
      <c r="F1" s="1"/>
      <c r="H1" s="1"/>
      <c r="I1" s="1"/>
      <c r="J1" s="1"/>
      <c r="L1" s="2" t="s">
        <v>203</v>
      </c>
    </row>
    <row r="2" spans="1:12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L2" s="1"/>
    </row>
    <row r="3" spans="1:12" ht="15" x14ac:dyDescent="0.25">
      <c r="A3" s="3" t="s">
        <v>518</v>
      </c>
      <c r="B3" s="1"/>
      <c r="C3" s="1"/>
      <c r="D3" s="1"/>
      <c r="E3" s="1"/>
      <c r="F3" s="1"/>
      <c r="G3" s="1"/>
      <c r="H3" s="1"/>
      <c r="I3" s="1"/>
      <c r="J3" s="1"/>
      <c r="L3" s="1"/>
    </row>
    <row r="4" spans="1:12" ht="15" x14ac:dyDescent="0.25">
      <c r="A4" s="1"/>
      <c r="B4" s="3" t="s">
        <v>714</v>
      </c>
      <c r="C4" s="3"/>
      <c r="D4" s="3"/>
      <c r="E4" s="3"/>
      <c r="F4" s="1"/>
      <c r="G4" s="1"/>
      <c r="H4" s="1"/>
      <c r="I4" s="1"/>
      <c r="J4" s="1"/>
      <c r="L4" s="1"/>
    </row>
    <row r="5" spans="1:12" ht="15" x14ac:dyDescent="0.25">
      <c r="A5" s="71" t="s">
        <v>91</v>
      </c>
      <c r="B5" s="72"/>
      <c r="C5" s="72"/>
      <c r="D5" s="33" t="s">
        <v>520</v>
      </c>
      <c r="E5" s="33" t="s">
        <v>575</v>
      </c>
      <c r="F5" s="33" t="s">
        <v>506</v>
      </c>
      <c r="G5" s="33" t="s">
        <v>507</v>
      </c>
      <c r="H5" s="33" t="s">
        <v>508</v>
      </c>
      <c r="I5" s="33" t="s">
        <v>509</v>
      </c>
      <c r="J5" s="33" t="s">
        <v>510</v>
      </c>
      <c r="K5" s="33" t="s">
        <v>511</v>
      </c>
      <c r="L5" s="33" t="s">
        <v>538</v>
      </c>
    </row>
    <row r="6" spans="1:12" ht="90.75" thickBot="1" x14ac:dyDescent="0.3">
      <c r="A6" s="5"/>
      <c r="B6" s="73"/>
      <c r="C6" s="73"/>
      <c r="D6" s="739" t="s">
        <v>519</v>
      </c>
      <c r="E6" s="739" t="s">
        <v>576</v>
      </c>
      <c r="F6" s="739" t="s">
        <v>512</v>
      </c>
      <c r="G6" s="739" t="s">
        <v>513</v>
      </c>
      <c r="H6" s="739" t="s">
        <v>514</v>
      </c>
      <c r="I6" s="739" t="s">
        <v>515</v>
      </c>
      <c r="J6" s="739" t="s">
        <v>516</v>
      </c>
      <c r="K6" s="739" t="s">
        <v>537</v>
      </c>
      <c r="L6" s="739" t="s">
        <v>517</v>
      </c>
    </row>
    <row r="7" spans="1:12" ht="19.5" thickBot="1" x14ac:dyDescent="0.35">
      <c r="A7" s="70" t="s">
        <v>7</v>
      </c>
      <c r="B7" s="75" t="s">
        <v>10</v>
      </c>
      <c r="C7" s="373" t="s">
        <v>29</v>
      </c>
      <c r="D7" s="37" t="s">
        <v>716</v>
      </c>
      <c r="E7" s="37" t="s">
        <v>716</v>
      </c>
      <c r="F7" s="37" t="s">
        <v>716</v>
      </c>
      <c r="G7" s="37" t="s">
        <v>716</v>
      </c>
      <c r="H7" s="37" t="s">
        <v>716</v>
      </c>
      <c r="I7" s="37" t="s">
        <v>716</v>
      </c>
      <c r="J7" s="37" t="s">
        <v>716</v>
      </c>
      <c r="K7" s="37" t="s">
        <v>716</v>
      </c>
      <c r="L7" s="37" t="s">
        <v>716</v>
      </c>
    </row>
    <row r="8" spans="1:12" ht="15.75" x14ac:dyDescent="0.25">
      <c r="A8" s="77">
        <v>1100</v>
      </c>
      <c r="B8" s="78" t="s">
        <v>11</v>
      </c>
      <c r="C8" s="374">
        <f>SUM(D8:L8)</f>
        <v>37906</v>
      </c>
      <c r="D8" s="378"/>
      <c r="E8" s="378"/>
      <c r="F8" s="291">
        <v>6481</v>
      </c>
      <c r="G8" s="124"/>
      <c r="H8" s="291">
        <v>20740</v>
      </c>
      <c r="I8" s="291"/>
      <c r="J8" s="291">
        <v>500</v>
      </c>
      <c r="K8" s="291">
        <v>2910</v>
      </c>
      <c r="L8" s="291">
        <v>7275</v>
      </c>
    </row>
    <row r="9" spans="1:12" ht="45" x14ac:dyDescent="0.25">
      <c r="A9" s="82">
        <v>1200</v>
      </c>
      <c r="B9" s="83" t="s">
        <v>12</v>
      </c>
      <c r="C9" s="374">
        <f>SUM(D9:L9)</f>
        <v>10873</v>
      </c>
      <c r="D9" s="379"/>
      <c r="E9" s="379"/>
      <c r="F9" s="84">
        <v>1761</v>
      </c>
      <c r="G9" s="84"/>
      <c r="H9" s="84">
        <v>6004</v>
      </c>
      <c r="I9" s="84"/>
      <c r="J9" s="84">
        <v>118</v>
      </c>
      <c r="K9" s="84">
        <v>686</v>
      </c>
      <c r="L9" s="84">
        <v>2304</v>
      </c>
    </row>
    <row r="10" spans="1:12" ht="15.75" x14ac:dyDescent="0.25">
      <c r="A10" s="82">
        <v>2000</v>
      </c>
      <c r="B10" s="50" t="s">
        <v>13</v>
      </c>
      <c r="C10" s="375">
        <f>SUM(C11:C15)</f>
        <v>218759</v>
      </c>
      <c r="D10" s="90">
        <f>SUM(D11:D15)</f>
        <v>124494</v>
      </c>
      <c r="E10" s="90">
        <f>SUM(E11:E15)</f>
        <v>19000</v>
      </c>
      <c r="F10" s="90">
        <f>SUM(F11:F15)</f>
        <v>13105</v>
      </c>
      <c r="G10" s="90">
        <f t="shared" ref="G10:L10" si="0">SUM(G11:G15)</f>
        <v>11311</v>
      </c>
      <c r="H10" s="90">
        <f t="shared" si="0"/>
        <v>26487</v>
      </c>
      <c r="I10" s="90">
        <f t="shared" si="0"/>
        <v>7450</v>
      </c>
      <c r="J10" s="90">
        <f t="shared" si="0"/>
        <v>5776</v>
      </c>
      <c r="K10" s="90">
        <f t="shared" ref="K10" si="1">SUM(K11:K15)</f>
        <v>5186</v>
      </c>
      <c r="L10" s="90">
        <f t="shared" si="0"/>
        <v>5950</v>
      </c>
    </row>
    <row r="11" spans="1:12" ht="15.75" x14ac:dyDescent="0.25">
      <c r="A11" s="82">
        <v>2100</v>
      </c>
      <c r="B11" s="50" t="s">
        <v>14</v>
      </c>
      <c r="C11" s="375">
        <f t="shared" ref="C11:C21" si="2">SUM(D11:L11)</f>
        <v>0</v>
      </c>
      <c r="D11" s="379"/>
      <c r="E11" s="379"/>
      <c r="F11" s="90"/>
      <c r="G11" s="90"/>
      <c r="H11" s="90"/>
      <c r="I11" s="90"/>
      <c r="J11" s="90"/>
      <c r="K11" s="90"/>
      <c r="L11" s="90"/>
    </row>
    <row r="12" spans="1:12" ht="15.75" x14ac:dyDescent="0.25">
      <c r="A12" s="82">
        <v>2200</v>
      </c>
      <c r="B12" s="50" t="s">
        <v>15</v>
      </c>
      <c r="C12" s="375">
        <f t="shared" si="2"/>
        <v>199405</v>
      </c>
      <c r="D12" s="379">
        <f>198494-19000-70000+15000</f>
        <v>124494</v>
      </c>
      <c r="E12" s="379">
        <v>13000</v>
      </c>
      <c r="F12" s="90">
        <v>8251</v>
      </c>
      <c r="G12" s="90">
        <v>10506</v>
      </c>
      <c r="H12" s="90">
        <v>21712</v>
      </c>
      <c r="I12" s="90">
        <v>7100</v>
      </c>
      <c r="J12" s="90">
        <v>4726</v>
      </c>
      <c r="K12" s="90">
        <v>4166</v>
      </c>
      <c r="L12" s="90">
        <v>5450</v>
      </c>
    </row>
    <row r="13" spans="1:12" ht="30" customHeight="1" x14ac:dyDescent="0.25">
      <c r="A13" s="82">
        <v>2300</v>
      </c>
      <c r="B13" s="83" t="s">
        <v>16</v>
      </c>
      <c r="C13" s="375">
        <f t="shared" si="2"/>
        <v>17254</v>
      </c>
      <c r="D13" s="379"/>
      <c r="E13" s="379">
        <f>6000</f>
        <v>6000</v>
      </c>
      <c r="F13" s="90">
        <v>4204</v>
      </c>
      <c r="G13" s="90">
        <v>725</v>
      </c>
      <c r="H13" s="90">
        <v>4355</v>
      </c>
      <c r="I13" s="90">
        <v>200</v>
      </c>
      <c r="J13" s="90">
        <v>750</v>
      </c>
      <c r="K13" s="90">
        <v>720</v>
      </c>
      <c r="L13" s="90">
        <v>300</v>
      </c>
    </row>
    <row r="14" spans="1:12" ht="15.75" x14ac:dyDescent="0.25">
      <c r="A14" s="42">
        <v>2400</v>
      </c>
      <c r="B14" s="50" t="s">
        <v>47</v>
      </c>
      <c r="C14" s="375">
        <f t="shared" si="2"/>
        <v>0</v>
      </c>
      <c r="D14" s="379"/>
      <c r="E14" s="379"/>
      <c r="F14" s="90"/>
      <c r="G14" s="90"/>
      <c r="H14" s="90"/>
      <c r="I14" s="90"/>
      <c r="J14" s="90"/>
      <c r="K14" s="90"/>
      <c r="L14" s="90"/>
    </row>
    <row r="15" spans="1:12" ht="15.75" x14ac:dyDescent="0.25">
      <c r="A15" s="82">
        <v>2500</v>
      </c>
      <c r="B15" s="50" t="s">
        <v>17</v>
      </c>
      <c r="C15" s="375">
        <f t="shared" si="2"/>
        <v>2100</v>
      </c>
      <c r="D15" s="379"/>
      <c r="E15" s="379"/>
      <c r="F15" s="90">
        <v>650</v>
      </c>
      <c r="G15" s="90">
        <v>80</v>
      </c>
      <c r="H15" s="90">
        <v>420</v>
      </c>
      <c r="I15" s="90">
        <v>150</v>
      </c>
      <c r="J15" s="90">
        <v>300</v>
      </c>
      <c r="K15" s="90">
        <v>300</v>
      </c>
      <c r="L15" s="90">
        <v>200</v>
      </c>
    </row>
    <row r="16" spans="1:12" ht="15.75" x14ac:dyDescent="0.25">
      <c r="A16" s="82">
        <v>3200</v>
      </c>
      <c r="B16" s="181" t="s">
        <v>135</v>
      </c>
      <c r="C16" s="375">
        <f t="shared" si="2"/>
        <v>9714</v>
      </c>
      <c r="D16" s="379"/>
      <c r="E16" s="379">
        <v>9714</v>
      </c>
      <c r="F16" s="90"/>
      <c r="G16" s="90"/>
      <c r="H16" s="90"/>
      <c r="I16" s="90"/>
      <c r="J16" s="90"/>
      <c r="K16" s="90"/>
      <c r="L16" s="90"/>
    </row>
    <row r="17" spans="1:21" ht="15.75" x14ac:dyDescent="0.25">
      <c r="A17" s="82">
        <v>4200</v>
      </c>
      <c r="B17" s="50" t="s">
        <v>19</v>
      </c>
      <c r="C17" s="375">
        <f t="shared" si="2"/>
        <v>0</v>
      </c>
      <c r="D17" s="379"/>
      <c r="E17" s="379"/>
      <c r="F17" s="90"/>
      <c r="G17" s="90"/>
      <c r="H17" s="90"/>
      <c r="I17" s="90"/>
      <c r="J17" s="90"/>
      <c r="K17" s="90"/>
      <c r="L17" s="90"/>
    </row>
    <row r="18" spans="1:21" ht="15.75" x14ac:dyDescent="0.25">
      <c r="A18" s="82">
        <v>4300</v>
      </c>
      <c r="B18" s="50" t="s">
        <v>20</v>
      </c>
      <c r="C18" s="375">
        <f t="shared" si="2"/>
        <v>0</v>
      </c>
      <c r="D18" s="379"/>
      <c r="E18" s="379"/>
      <c r="F18" s="90"/>
      <c r="G18" s="90"/>
      <c r="H18" s="90"/>
      <c r="I18" s="90"/>
      <c r="J18" s="90"/>
      <c r="K18" s="90"/>
      <c r="L18" s="90"/>
    </row>
    <row r="19" spans="1:21" ht="15.75" x14ac:dyDescent="0.25">
      <c r="A19" s="82">
        <v>5100</v>
      </c>
      <c r="B19" s="50" t="s">
        <v>22</v>
      </c>
      <c r="C19" s="375">
        <f t="shared" si="2"/>
        <v>0</v>
      </c>
      <c r="D19" s="379"/>
      <c r="E19" s="379"/>
      <c r="F19" s="90"/>
      <c r="G19" s="90"/>
      <c r="H19" s="90"/>
      <c r="I19" s="90"/>
      <c r="J19" s="90"/>
      <c r="K19" s="90"/>
      <c r="L19" s="90"/>
    </row>
    <row r="20" spans="1:21" ht="15.75" x14ac:dyDescent="0.25">
      <c r="A20" s="82">
        <v>5200</v>
      </c>
      <c r="B20" s="50" t="s">
        <v>23</v>
      </c>
      <c r="C20" s="375">
        <f t="shared" si="2"/>
        <v>246150</v>
      </c>
      <c r="D20" s="379">
        <f>154400+19000+70000</f>
        <v>243400</v>
      </c>
      <c r="E20" s="379"/>
      <c r="F20" s="90"/>
      <c r="G20" s="90"/>
      <c r="H20" s="90">
        <f>3750-1000</f>
        <v>2750</v>
      </c>
      <c r="I20" s="90"/>
      <c r="J20" s="90"/>
      <c r="K20" s="90"/>
      <c r="L20" s="90"/>
    </row>
    <row r="21" spans="1:21" ht="16.5" thickBot="1" x14ac:dyDescent="0.3">
      <c r="A21" s="82">
        <v>6000</v>
      </c>
      <c r="B21" s="43" t="s">
        <v>44</v>
      </c>
      <c r="C21" s="375">
        <f t="shared" si="2"/>
        <v>0</v>
      </c>
      <c r="D21" s="379"/>
      <c r="E21" s="379"/>
      <c r="F21" s="87"/>
      <c r="G21" s="87"/>
      <c r="H21" s="87"/>
      <c r="I21" s="87"/>
      <c r="J21" s="87"/>
      <c r="K21" s="87"/>
      <c r="L21" s="87"/>
    </row>
    <row r="22" spans="1:21" ht="16.5" hidden="1" thickBot="1" x14ac:dyDescent="0.3">
      <c r="A22" s="82">
        <v>6200</v>
      </c>
      <c r="B22" s="50" t="s">
        <v>24</v>
      </c>
      <c r="C22" s="375">
        <f t="shared" ref="C22:C25" si="3">SUM(D22:L22)</f>
        <v>0</v>
      </c>
      <c r="D22" s="378"/>
      <c r="E22" s="378"/>
      <c r="F22" s="124"/>
      <c r="G22" s="124"/>
      <c r="H22" s="124"/>
      <c r="I22" s="124"/>
      <c r="J22" s="124"/>
      <c r="K22" s="124"/>
      <c r="L22" s="124"/>
    </row>
    <row r="23" spans="1:21" ht="16.5" hidden="1" thickBot="1" x14ac:dyDescent="0.3">
      <c r="A23" s="82">
        <v>6300</v>
      </c>
      <c r="B23" s="43" t="s">
        <v>45</v>
      </c>
      <c r="C23" s="375">
        <f t="shared" si="3"/>
        <v>0</v>
      </c>
      <c r="D23" s="379"/>
      <c r="E23" s="379"/>
      <c r="F23" s="87"/>
      <c r="G23" s="87"/>
      <c r="H23" s="87"/>
      <c r="I23" s="87"/>
      <c r="J23" s="87"/>
      <c r="K23" s="87"/>
      <c r="L23" s="87"/>
    </row>
    <row r="24" spans="1:21" ht="30.75" hidden="1" thickBot="1" x14ac:dyDescent="0.3">
      <c r="A24" s="82">
        <v>6400</v>
      </c>
      <c r="B24" s="43" t="s">
        <v>59</v>
      </c>
      <c r="C24" s="375">
        <f t="shared" si="3"/>
        <v>0</v>
      </c>
      <c r="D24" s="379"/>
      <c r="E24" s="379"/>
      <c r="F24" s="87"/>
      <c r="G24" s="87"/>
      <c r="H24" s="87"/>
      <c r="I24" s="87"/>
      <c r="J24" s="87"/>
      <c r="K24" s="87"/>
      <c r="L24" s="87"/>
    </row>
    <row r="25" spans="1:21" ht="16.5" hidden="1" thickBot="1" x14ac:dyDescent="0.3">
      <c r="A25" s="82">
        <v>7200</v>
      </c>
      <c r="B25" s="50" t="s">
        <v>25</v>
      </c>
      <c r="C25" s="376">
        <f t="shared" si="3"/>
        <v>0</v>
      </c>
      <c r="D25" s="378"/>
      <c r="E25" s="378"/>
      <c r="F25" s="291"/>
      <c r="G25" s="291"/>
      <c r="H25" s="291"/>
      <c r="I25" s="291"/>
      <c r="J25" s="291"/>
      <c r="K25" s="291"/>
      <c r="L25" s="291"/>
    </row>
    <row r="26" spans="1:21" ht="16.5" thickBot="1" x14ac:dyDescent="0.3">
      <c r="A26" s="93"/>
      <c r="B26" s="94" t="s">
        <v>26</v>
      </c>
      <c r="C26" s="95">
        <f>SUM(C8+C9+C10+C17+C18+C19+C20+C22+C24+C25)</f>
        <v>513688</v>
      </c>
      <c r="D26" s="371">
        <f>SUM(D8+D9+D10+D17+D18+D19+D20+D22+D24+D25)</f>
        <v>367894</v>
      </c>
      <c r="E26" s="371">
        <f>SUM(E8+E9+E10+E17+E18+E19+E20+E22+E24+E25+E16)</f>
        <v>28714</v>
      </c>
      <c r="F26" s="371">
        <f>SUM(F8+F9+F10+F17+F18+F19+F20+F22+F24+F25)</f>
        <v>21347</v>
      </c>
      <c r="G26" s="95">
        <f>SUM(G8+G9+G10+G17+G18+G19+G20+G22+G24+G25)</f>
        <v>11311</v>
      </c>
      <c r="H26" s="95">
        <f t="shared" ref="H26:J26" si="4">SUM(H8+H9+H10+H17+H18+H19+H20+H22+H24+H25)</f>
        <v>55981</v>
      </c>
      <c r="I26" s="95">
        <f t="shared" si="4"/>
        <v>7450</v>
      </c>
      <c r="J26" s="95">
        <f t="shared" si="4"/>
        <v>6394</v>
      </c>
      <c r="K26" s="95">
        <f>SUM(K8+K9+K10+K16+K17+K18+K19+K20+K22+K24+K25)</f>
        <v>8782</v>
      </c>
      <c r="L26" s="95">
        <f>SUM(L8+L9+L10+L16+L17+L18+L19+L20+L22+L24+L25)</f>
        <v>15529</v>
      </c>
      <c r="M26" s="435"/>
    </row>
    <row r="27" spans="1:21" x14ac:dyDescent="0.2">
      <c r="B27" s="654"/>
      <c r="H27" s="761"/>
    </row>
    <row r="28" spans="1:21" x14ac:dyDescent="0.2">
      <c r="B28" s="19" t="s">
        <v>535</v>
      </c>
      <c r="H28" s="762"/>
      <c r="I28" s="762"/>
      <c r="J28" s="762"/>
      <c r="K28" s="762"/>
      <c r="L28" s="762"/>
    </row>
    <row r="29" spans="1:21" ht="39.75" customHeight="1" thickBot="1" x14ac:dyDescent="0.35">
      <c r="B29" s="909" t="s">
        <v>721</v>
      </c>
      <c r="C29" s="909"/>
      <c r="D29" s="909"/>
      <c r="E29" s="468"/>
      <c r="F29" s="737"/>
      <c r="M29" s="435"/>
      <c r="N29" s="435"/>
      <c r="O29" s="435"/>
      <c r="P29" s="435"/>
      <c r="Q29" s="435"/>
      <c r="R29" s="435"/>
      <c r="S29" s="435"/>
      <c r="T29" s="435"/>
      <c r="U29" s="435"/>
    </row>
    <row r="30" spans="1:21" ht="30.75" thickBot="1" x14ac:dyDescent="0.3">
      <c r="B30" s="833" t="s">
        <v>34</v>
      </c>
      <c r="C30" s="496" t="s">
        <v>7</v>
      </c>
      <c r="D30" s="37" t="s">
        <v>722</v>
      </c>
      <c r="E30" s="739"/>
      <c r="H30" s="60"/>
    </row>
    <row r="31" spans="1:21" ht="15.75" x14ac:dyDescent="0.25">
      <c r="B31" s="903" t="s">
        <v>609</v>
      </c>
      <c r="C31" s="153">
        <v>2200</v>
      </c>
      <c r="D31" s="495">
        <v>4800</v>
      </c>
      <c r="E31" s="138"/>
      <c r="F31" s="27"/>
      <c r="H31" s="154"/>
      <c r="I31" s="1"/>
    </row>
    <row r="32" spans="1:21" ht="39" x14ac:dyDescent="0.25">
      <c r="B32" s="835" t="s">
        <v>827</v>
      </c>
      <c r="C32" s="12">
        <v>5200</v>
      </c>
      <c r="D32" s="876">
        <f>48400-22705</f>
        <v>25695</v>
      </c>
      <c r="E32" s="154"/>
      <c r="H32" s="154"/>
      <c r="I32" s="1"/>
    </row>
    <row r="33" spans="2:9" ht="39" x14ac:dyDescent="0.25">
      <c r="B33" s="835" t="s">
        <v>899</v>
      </c>
      <c r="C33" s="12">
        <v>5200</v>
      </c>
      <c r="D33" s="876">
        <v>22705</v>
      </c>
      <c r="E33" s="154"/>
      <c r="H33" s="154"/>
      <c r="I33" s="1"/>
    </row>
    <row r="34" spans="2:9" ht="14.25" customHeight="1" x14ac:dyDescent="0.25">
      <c r="B34" s="903" t="s">
        <v>855</v>
      </c>
      <c r="C34" s="12">
        <v>5200</v>
      </c>
      <c r="D34" s="493">
        <v>18000</v>
      </c>
      <c r="E34" s="154"/>
      <c r="H34" s="154"/>
      <c r="I34" s="154"/>
    </row>
    <row r="35" spans="2:9" ht="26.25" x14ac:dyDescent="0.25">
      <c r="B35" s="901" t="s">
        <v>856</v>
      </c>
      <c r="C35" s="12">
        <v>5200</v>
      </c>
      <c r="D35" s="493">
        <v>8000</v>
      </c>
      <c r="E35" s="154"/>
      <c r="H35" s="154"/>
      <c r="I35" s="154"/>
    </row>
    <row r="36" spans="2:9" ht="26.25" x14ac:dyDescent="0.25">
      <c r="B36" s="901" t="s">
        <v>857</v>
      </c>
      <c r="C36" s="12">
        <v>5200</v>
      </c>
      <c r="D36" s="493">
        <v>30000</v>
      </c>
      <c r="E36" s="154"/>
      <c r="H36" s="154"/>
      <c r="I36" s="154"/>
    </row>
    <row r="37" spans="2:9" ht="25.5" x14ac:dyDescent="0.25">
      <c r="B37" s="902" t="s">
        <v>858</v>
      </c>
      <c r="C37" s="12">
        <v>5200</v>
      </c>
      <c r="D37" s="493">
        <v>50000</v>
      </c>
      <c r="E37" s="154"/>
      <c r="H37" s="154"/>
      <c r="I37" s="154"/>
    </row>
    <row r="38" spans="2:9" ht="25.5" x14ac:dyDescent="0.25">
      <c r="B38" s="902" t="s">
        <v>890</v>
      </c>
      <c r="C38" s="12">
        <v>2200</v>
      </c>
      <c r="D38" s="493">
        <v>4000</v>
      </c>
      <c r="E38" s="154"/>
      <c r="H38" s="154"/>
      <c r="I38" s="154"/>
    </row>
    <row r="39" spans="2:9" ht="28.9" customHeight="1" x14ac:dyDescent="0.25">
      <c r="B39" s="901" t="s">
        <v>859</v>
      </c>
      <c r="C39" s="12">
        <v>2200</v>
      </c>
      <c r="D39" s="493">
        <v>2000</v>
      </c>
      <c r="E39" s="154"/>
      <c r="H39" s="154"/>
      <c r="I39" s="154"/>
    </row>
    <row r="40" spans="2:9" ht="15" x14ac:dyDescent="0.25">
      <c r="B40" s="903" t="s">
        <v>860</v>
      </c>
      <c r="C40" s="12">
        <v>5200</v>
      </c>
      <c r="D40" s="493">
        <v>19000</v>
      </c>
      <c r="E40" s="154"/>
      <c r="H40" s="154"/>
      <c r="I40" s="154"/>
    </row>
    <row r="41" spans="2:9" ht="25.5" x14ac:dyDescent="0.25">
      <c r="B41" s="904" t="s">
        <v>862</v>
      </c>
      <c r="C41" s="12">
        <v>2200</v>
      </c>
      <c r="D41" s="493">
        <v>80000</v>
      </c>
      <c r="E41" s="154"/>
      <c r="H41" s="154"/>
      <c r="I41" s="154"/>
    </row>
    <row r="42" spans="2:9" ht="38.25" x14ac:dyDescent="0.25">
      <c r="B42" s="904" t="s">
        <v>863</v>
      </c>
      <c r="C42" s="12">
        <v>5200</v>
      </c>
      <c r="D42" s="493">
        <v>70000</v>
      </c>
      <c r="E42" s="154"/>
      <c r="H42" s="154"/>
      <c r="I42" s="154"/>
    </row>
    <row r="43" spans="2:9" ht="26.25" x14ac:dyDescent="0.25">
      <c r="B43" s="903" t="s">
        <v>861</v>
      </c>
      <c r="C43" s="12">
        <v>2200</v>
      </c>
      <c r="D43" s="493">
        <v>15000</v>
      </c>
      <c r="E43" s="154"/>
      <c r="H43" s="154"/>
      <c r="I43" s="154"/>
    </row>
    <row r="44" spans="2:9" ht="38.25" x14ac:dyDescent="0.25">
      <c r="B44" s="902" t="s">
        <v>853</v>
      </c>
      <c r="C44" s="12">
        <v>2200</v>
      </c>
      <c r="D44" s="493">
        <v>5000</v>
      </c>
      <c r="E44" s="154"/>
      <c r="H44" s="154"/>
    </row>
    <row r="45" spans="2:9" ht="26.25" x14ac:dyDescent="0.25">
      <c r="B45" s="905" t="s">
        <v>582</v>
      </c>
      <c r="C45" s="12">
        <v>2200</v>
      </c>
      <c r="D45" s="493">
        <v>6044</v>
      </c>
      <c r="E45" s="138"/>
      <c r="H45" s="154"/>
    </row>
    <row r="46" spans="2:9" ht="27" thickBot="1" x14ac:dyDescent="0.3">
      <c r="B46" s="905" t="s">
        <v>188</v>
      </c>
      <c r="C46" s="12">
        <v>2200</v>
      </c>
      <c r="D46" s="493">
        <v>7650</v>
      </c>
      <c r="E46" s="138"/>
      <c r="H46" s="154"/>
    </row>
    <row r="47" spans="2:9" ht="15.75" thickBot="1" x14ac:dyDescent="0.3">
      <c r="B47" s="140" t="s">
        <v>28</v>
      </c>
      <c r="C47" s="100"/>
      <c r="D47" s="452">
        <f>SUM(D31:D46)</f>
        <v>367894</v>
      </c>
      <c r="E47" s="469"/>
      <c r="F47" s="8"/>
      <c r="H47" s="8"/>
    </row>
    <row r="48" spans="2:9" x14ac:dyDescent="0.2">
      <c r="D48" s="27"/>
      <c r="E48" s="27"/>
    </row>
    <row r="49" spans="2:8" ht="15" x14ac:dyDescent="0.25">
      <c r="B49" s="432" t="s">
        <v>534</v>
      </c>
      <c r="D49" s="763"/>
      <c r="E49" s="763"/>
      <c r="F49" s="761"/>
    </row>
    <row r="50" spans="2:8" ht="38.25" customHeight="1" thickBot="1" x14ac:dyDescent="0.35">
      <c r="B50" s="909" t="s">
        <v>723</v>
      </c>
      <c r="C50" s="909"/>
      <c r="D50" s="909"/>
      <c r="E50" s="737"/>
    </row>
    <row r="51" spans="2:8" ht="15.75" thickBot="1" x14ac:dyDescent="0.3">
      <c r="B51" s="833" t="s">
        <v>34</v>
      </c>
      <c r="C51" s="392" t="s">
        <v>7</v>
      </c>
      <c r="D51" s="36" t="s">
        <v>719</v>
      </c>
      <c r="E51" s="468"/>
      <c r="H51" s="60"/>
    </row>
    <row r="52" spans="2:8" ht="38.65" customHeight="1" x14ac:dyDescent="0.25">
      <c r="B52" s="834" t="s">
        <v>854</v>
      </c>
      <c r="C52" s="12">
        <v>2300</v>
      </c>
      <c r="D52" s="493">
        <v>6000</v>
      </c>
      <c r="E52" s="154"/>
      <c r="H52" s="154"/>
    </row>
    <row r="53" spans="2:8" ht="15" x14ac:dyDescent="0.25">
      <c r="B53" s="380" t="s">
        <v>571</v>
      </c>
      <c r="C53" s="47">
        <v>2200</v>
      </c>
      <c r="D53" s="381"/>
      <c r="E53" s="154"/>
      <c r="H53" s="154"/>
    </row>
    <row r="54" spans="2:8" ht="15.75" x14ac:dyDescent="0.25">
      <c r="B54" s="380" t="s">
        <v>668</v>
      </c>
      <c r="C54" s="47">
        <v>3200</v>
      </c>
      <c r="D54" s="381">
        <v>5000</v>
      </c>
      <c r="E54" s="138"/>
      <c r="H54" s="154"/>
    </row>
    <row r="55" spans="2:8" ht="29.25" customHeight="1" x14ac:dyDescent="0.25">
      <c r="B55" s="380" t="s">
        <v>603</v>
      </c>
      <c r="C55" s="47">
        <v>3200</v>
      </c>
      <c r="D55" s="381">
        <v>4714</v>
      </c>
      <c r="E55" s="138"/>
      <c r="H55" s="154"/>
    </row>
    <row r="56" spans="2:8" ht="15" x14ac:dyDescent="0.25">
      <c r="B56" s="336" t="s">
        <v>734</v>
      </c>
      <c r="C56" s="47">
        <v>2200</v>
      </c>
      <c r="D56" s="381">
        <v>12000</v>
      </c>
      <c r="H56" s="154"/>
    </row>
    <row r="57" spans="2:8" ht="27" customHeight="1" thickBot="1" x14ac:dyDescent="0.3">
      <c r="B57" s="336" t="s">
        <v>610</v>
      </c>
      <c r="C57" s="47">
        <v>2200</v>
      </c>
      <c r="D57" s="381">
        <v>1000</v>
      </c>
      <c r="E57" s="138"/>
      <c r="H57" s="154"/>
    </row>
    <row r="58" spans="2:8" ht="15.75" thickBot="1" x14ac:dyDescent="0.3">
      <c r="B58" s="140" t="s">
        <v>28</v>
      </c>
      <c r="C58" s="383"/>
      <c r="D58" s="384">
        <f>SUM(D52:D57)</f>
        <v>28714</v>
      </c>
      <c r="E58" s="469"/>
      <c r="H58" s="8"/>
    </row>
    <row r="59" spans="2:8" ht="15" x14ac:dyDescent="0.25">
      <c r="B59" s="1"/>
      <c r="C59" s="1"/>
      <c r="D59" s="1"/>
      <c r="E59" s="1"/>
    </row>
    <row r="60" spans="2:8" ht="15" x14ac:dyDescent="0.25">
      <c r="B60" s="5" t="s">
        <v>941</v>
      </c>
      <c r="C60" s="5"/>
      <c r="D60" s="1"/>
      <c r="E60" s="1"/>
    </row>
  </sheetData>
  <mergeCells count="2">
    <mergeCell ref="B29:D29"/>
    <mergeCell ref="B50:D50"/>
  </mergeCells>
  <pageMargins left="0.51181102362204722" right="0.51181102362204722" top="0.74803149606299213" bottom="0.74803149606299213" header="0.31496062992125984" footer="0.31496062992125984"/>
  <pageSetup paperSize="9" scale="5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94" zoomScaleNormal="94" workbookViewId="0">
      <selection activeCell="P13" sqref="P13"/>
    </sheetView>
  </sheetViews>
  <sheetFormatPr defaultColWidth="9.140625" defaultRowHeight="12.75" x14ac:dyDescent="0.2"/>
  <cols>
    <col min="1" max="1" width="6.85546875" style="19" customWidth="1"/>
    <col min="2" max="2" width="40.42578125" style="19" customWidth="1"/>
    <col min="3" max="3" width="14.140625" style="19" customWidth="1"/>
    <col min="4" max="4" width="14" style="19" customWidth="1"/>
    <col min="5" max="5" width="13.5703125" style="19" customWidth="1"/>
    <col min="6" max="6" width="14" style="19" customWidth="1"/>
    <col min="7" max="7" width="12.85546875" style="19" customWidth="1"/>
    <col min="8" max="8" width="13.140625" style="19" customWidth="1"/>
    <col min="9" max="10" width="12.85546875" style="19" customWidth="1"/>
    <col min="11" max="11" width="16" style="19" customWidth="1"/>
    <col min="12" max="16384" width="9.140625" style="19"/>
  </cols>
  <sheetData>
    <row r="1" spans="1:11" ht="15" x14ac:dyDescent="0.25">
      <c r="A1" s="1"/>
      <c r="B1" s="2" t="s">
        <v>0</v>
      </c>
      <c r="C1" s="2"/>
      <c r="D1" s="1"/>
      <c r="F1" s="1"/>
      <c r="G1" s="1"/>
      <c r="H1" s="1"/>
      <c r="I1" s="1"/>
      <c r="J1" s="1"/>
      <c r="K1" s="2" t="s">
        <v>203</v>
      </c>
    </row>
    <row r="2" spans="1:1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x14ac:dyDescent="0.25">
      <c r="A3" s="3" t="s">
        <v>327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1"/>
      <c r="B4" s="3" t="s">
        <v>714</v>
      </c>
      <c r="C4" s="3"/>
      <c r="D4" s="1"/>
      <c r="E4" s="1"/>
      <c r="F4" s="1"/>
      <c r="G4" s="1"/>
      <c r="H4" s="1"/>
      <c r="I4" s="1"/>
      <c r="J4" s="1"/>
      <c r="K4" s="1"/>
    </row>
    <row r="5" spans="1:11" ht="15" x14ac:dyDescent="0.25">
      <c r="A5" s="71" t="s">
        <v>91</v>
      </c>
      <c r="B5" s="72"/>
      <c r="C5" s="415"/>
      <c r="D5" s="416" t="s">
        <v>521</v>
      </c>
      <c r="E5" s="416" t="s">
        <v>522</v>
      </c>
      <c r="F5" s="416" t="s">
        <v>523</v>
      </c>
      <c r="G5" s="416" t="s">
        <v>524</v>
      </c>
      <c r="H5" s="416" t="s">
        <v>525</v>
      </c>
      <c r="I5" s="416" t="s">
        <v>526</v>
      </c>
      <c r="J5" s="417" t="s">
        <v>536</v>
      </c>
      <c r="K5" s="417" t="s">
        <v>938</v>
      </c>
    </row>
    <row r="6" spans="1:11" ht="75.75" thickBot="1" x14ac:dyDescent="0.3">
      <c r="A6" s="5"/>
      <c r="B6" s="73"/>
      <c r="C6" s="418"/>
      <c r="D6" s="419" t="s">
        <v>527</v>
      </c>
      <c r="E6" s="419" t="s">
        <v>528</v>
      </c>
      <c r="F6" s="419" t="s">
        <v>529</v>
      </c>
      <c r="G6" s="419" t="s">
        <v>530</v>
      </c>
      <c r="H6" s="419" t="s">
        <v>531</v>
      </c>
      <c r="I6" s="419" t="s">
        <v>532</v>
      </c>
      <c r="J6" s="420" t="s">
        <v>533</v>
      </c>
      <c r="K6" s="420" t="s">
        <v>939</v>
      </c>
    </row>
    <row r="7" spans="1:11" ht="15.75" thickBot="1" x14ac:dyDescent="0.3">
      <c r="A7" s="159" t="s">
        <v>7</v>
      </c>
      <c r="B7" s="436" t="s">
        <v>10</v>
      </c>
      <c r="C7" s="437" t="s">
        <v>29</v>
      </c>
      <c r="D7" s="37" t="s">
        <v>152</v>
      </c>
      <c r="E7" s="37" t="s">
        <v>152</v>
      </c>
      <c r="F7" s="37" t="s">
        <v>152</v>
      </c>
      <c r="G7" s="37" t="s">
        <v>152</v>
      </c>
      <c r="H7" s="37" t="s">
        <v>152</v>
      </c>
      <c r="I7" s="37" t="s">
        <v>152</v>
      </c>
      <c r="J7" s="37" t="s">
        <v>152</v>
      </c>
      <c r="K7" s="37" t="s">
        <v>152</v>
      </c>
    </row>
    <row r="8" spans="1:11" ht="15" x14ac:dyDescent="0.25">
      <c r="A8" s="410">
        <v>1100</v>
      </c>
      <c r="B8" s="411" t="s">
        <v>11</v>
      </c>
      <c r="C8" s="64">
        <f>SUM(D8:K8)</f>
        <v>28795</v>
      </c>
      <c r="D8" s="291">
        <v>6481</v>
      </c>
      <c r="E8" s="124"/>
      <c r="F8" s="291">
        <v>18904</v>
      </c>
      <c r="G8" s="291"/>
      <c r="H8" s="291">
        <v>500</v>
      </c>
      <c r="I8" s="291">
        <v>2910</v>
      </c>
      <c r="J8" s="291"/>
      <c r="K8" s="291"/>
    </row>
    <row r="9" spans="1:11" ht="45" x14ac:dyDescent="0.25">
      <c r="A9" s="82">
        <v>1200</v>
      </c>
      <c r="B9" s="83" t="s">
        <v>12</v>
      </c>
      <c r="C9" s="65">
        <f t="shared" ref="C9:C26" si="0">SUM(D9:K9)</f>
        <v>8250</v>
      </c>
      <c r="D9" s="84">
        <v>1979</v>
      </c>
      <c r="E9" s="84"/>
      <c r="F9" s="84">
        <v>5467</v>
      </c>
      <c r="G9" s="84"/>
      <c r="H9" s="84">
        <v>118</v>
      </c>
      <c r="I9" s="84">
        <v>686</v>
      </c>
      <c r="J9" s="84"/>
      <c r="K9" s="84"/>
    </row>
    <row r="10" spans="1:11" ht="15" x14ac:dyDescent="0.25">
      <c r="A10" s="82">
        <v>2000</v>
      </c>
      <c r="B10" s="50" t="s">
        <v>13</v>
      </c>
      <c r="C10" s="65">
        <f t="shared" si="0"/>
        <v>178108</v>
      </c>
      <c r="D10" s="90">
        <f t="shared" ref="D10:K10" si="1">SUM(D11:D15)</f>
        <v>17607</v>
      </c>
      <c r="E10" s="90">
        <f>SUM(E11:E15)</f>
        <v>15594</v>
      </c>
      <c r="F10" s="90">
        <f t="shared" si="1"/>
        <v>31237</v>
      </c>
      <c r="G10" s="90">
        <f t="shared" si="1"/>
        <v>8580</v>
      </c>
      <c r="H10" s="90">
        <f t="shared" si="1"/>
        <v>9530</v>
      </c>
      <c r="I10" s="90">
        <f t="shared" si="1"/>
        <v>8060</v>
      </c>
      <c r="J10" s="90">
        <f t="shared" ref="J10" si="2">SUM(J11:J15)</f>
        <v>7500</v>
      </c>
      <c r="K10" s="90">
        <f t="shared" si="1"/>
        <v>80000</v>
      </c>
    </row>
    <row r="11" spans="1:11" ht="15" x14ac:dyDescent="0.25">
      <c r="A11" s="82">
        <v>2100</v>
      </c>
      <c r="B11" s="50" t="s">
        <v>14</v>
      </c>
      <c r="C11" s="65">
        <f t="shared" si="0"/>
        <v>0</v>
      </c>
      <c r="D11" s="90"/>
      <c r="E11" s="90"/>
      <c r="F11" s="90"/>
      <c r="G11" s="90"/>
      <c r="H11" s="90"/>
      <c r="I11" s="90"/>
      <c r="J11" s="90"/>
      <c r="K11" s="90"/>
    </row>
    <row r="12" spans="1:11" ht="15" x14ac:dyDescent="0.25">
      <c r="A12" s="82">
        <v>2200</v>
      </c>
      <c r="B12" s="50" t="s">
        <v>15</v>
      </c>
      <c r="C12" s="65">
        <f t="shared" si="0"/>
        <v>157664</v>
      </c>
      <c r="D12" s="90">
        <v>12330</v>
      </c>
      <c r="E12" s="90">
        <v>13844</v>
      </c>
      <c r="F12" s="90">
        <v>23270</v>
      </c>
      <c r="G12" s="90">
        <v>8230</v>
      </c>
      <c r="H12" s="90">
        <f>8630-300</f>
        <v>8330</v>
      </c>
      <c r="I12" s="90">
        <f>6160-700</f>
        <v>5460</v>
      </c>
      <c r="J12" s="90">
        <v>6200</v>
      </c>
      <c r="K12" s="90">
        <v>80000</v>
      </c>
    </row>
    <row r="13" spans="1:11" ht="30" customHeight="1" x14ac:dyDescent="0.25">
      <c r="A13" s="82">
        <v>2300</v>
      </c>
      <c r="B13" s="83" t="s">
        <v>16</v>
      </c>
      <c r="C13" s="65">
        <f t="shared" si="0"/>
        <v>13854</v>
      </c>
      <c r="D13" s="90">
        <v>4737</v>
      </c>
      <c r="E13" s="90">
        <v>750</v>
      </c>
      <c r="F13" s="90">
        <f>4867+1000</f>
        <v>5867</v>
      </c>
      <c r="G13" s="90">
        <v>100</v>
      </c>
      <c r="H13" s="90">
        <f>200+300</f>
        <v>500</v>
      </c>
      <c r="I13" s="90">
        <v>1300</v>
      </c>
      <c r="J13" s="90">
        <v>600</v>
      </c>
      <c r="K13" s="90"/>
    </row>
    <row r="14" spans="1:11" ht="15" x14ac:dyDescent="0.25">
      <c r="A14" s="42">
        <v>2400</v>
      </c>
      <c r="B14" s="50" t="s">
        <v>47</v>
      </c>
      <c r="C14" s="65">
        <f t="shared" si="0"/>
        <v>0</v>
      </c>
      <c r="D14" s="90"/>
      <c r="E14" s="90"/>
      <c r="F14" s="90"/>
      <c r="G14" s="90"/>
      <c r="H14" s="90"/>
      <c r="I14" s="90"/>
      <c r="J14" s="90"/>
      <c r="K14" s="90"/>
    </row>
    <row r="15" spans="1:11" ht="15" x14ac:dyDescent="0.25">
      <c r="A15" s="82">
        <v>2500</v>
      </c>
      <c r="B15" s="50" t="s">
        <v>17</v>
      </c>
      <c r="C15" s="65">
        <f t="shared" si="0"/>
        <v>6590</v>
      </c>
      <c r="D15" s="90">
        <v>540</v>
      </c>
      <c r="E15" s="90">
        <v>1000</v>
      </c>
      <c r="F15" s="90">
        <v>2100</v>
      </c>
      <c r="G15" s="90">
        <v>250</v>
      </c>
      <c r="H15" s="90">
        <v>700</v>
      </c>
      <c r="I15" s="90">
        <f>600+700</f>
        <v>1300</v>
      </c>
      <c r="J15" s="90">
        <v>700</v>
      </c>
      <c r="K15" s="90"/>
    </row>
    <row r="16" spans="1:11" ht="15" x14ac:dyDescent="0.25">
      <c r="A16" s="82">
        <v>3200</v>
      </c>
      <c r="B16" s="181" t="s">
        <v>135</v>
      </c>
      <c r="C16" s="65">
        <f t="shared" si="0"/>
        <v>0</v>
      </c>
      <c r="D16" s="90"/>
      <c r="E16" s="90"/>
      <c r="F16" s="90"/>
      <c r="G16" s="90"/>
      <c r="H16" s="90"/>
      <c r="I16" s="90"/>
      <c r="J16" s="90"/>
      <c r="K16" s="90"/>
    </row>
    <row r="17" spans="1:12" ht="15" x14ac:dyDescent="0.25">
      <c r="A17" s="82">
        <v>4200</v>
      </c>
      <c r="B17" s="50" t="s">
        <v>19</v>
      </c>
      <c r="C17" s="65">
        <f t="shared" si="0"/>
        <v>0</v>
      </c>
      <c r="D17" s="90"/>
      <c r="E17" s="90"/>
      <c r="F17" s="90"/>
      <c r="G17" s="90"/>
      <c r="H17" s="90"/>
      <c r="I17" s="90"/>
      <c r="J17" s="90"/>
      <c r="K17" s="90"/>
    </row>
    <row r="18" spans="1:12" ht="15" x14ac:dyDescent="0.25">
      <c r="A18" s="82">
        <v>4300</v>
      </c>
      <c r="B18" s="50" t="s">
        <v>20</v>
      </c>
      <c r="C18" s="65">
        <f t="shared" si="0"/>
        <v>0</v>
      </c>
      <c r="D18" s="90"/>
      <c r="E18" s="90"/>
      <c r="F18" s="90"/>
      <c r="G18" s="90"/>
      <c r="H18" s="90"/>
      <c r="I18" s="90"/>
      <c r="J18" s="90"/>
      <c r="K18" s="90"/>
    </row>
    <row r="19" spans="1:12" ht="15" x14ac:dyDescent="0.25">
      <c r="A19" s="82">
        <v>5100</v>
      </c>
      <c r="B19" s="50" t="s">
        <v>22</v>
      </c>
      <c r="C19" s="65">
        <f t="shared" si="0"/>
        <v>0</v>
      </c>
      <c r="D19" s="90"/>
      <c r="E19" s="90"/>
      <c r="F19" s="90"/>
      <c r="G19" s="90"/>
      <c r="H19" s="90"/>
      <c r="I19" s="90"/>
      <c r="J19" s="90"/>
      <c r="K19" s="90"/>
    </row>
    <row r="20" spans="1:12" ht="15" x14ac:dyDescent="0.25">
      <c r="A20" s="82">
        <v>5200</v>
      </c>
      <c r="B20" s="50" t="s">
        <v>23</v>
      </c>
      <c r="C20" s="65">
        <f t="shared" si="0"/>
        <v>134693</v>
      </c>
      <c r="D20" s="90"/>
      <c r="E20" s="90"/>
      <c r="F20" s="90">
        <v>7971</v>
      </c>
      <c r="G20" s="90">
        <f>7450+120000-728</f>
        <v>126722</v>
      </c>
      <c r="H20" s="90"/>
      <c r="I20" s="90"/>
      <c r="J20" s="90"/>
      <c r="K20" s="90"/>
    </row>
    <row r="21" spans="1:12" ht="15" x14ac:dyDescent="0.25">
      <c r="A21" s="82">
        <v>6000</v>
      </c>
      <c r="B21" s="43" t="s">
        <v>44</v>
      </c>
      <c r="C21" s="65">
        <f t="shared" si="0"/>
        <v>0</v>
      </c>
      <c r="D21" s="87"/>
      <c r="E21" s="87"/>
      <c r="F21" s="87"/>
      <c r="G21" s="87"/>
      <c r="H21" s="87"/>
      <c r="I21" s="87"/>
      <c r="J21" s="87"/>
      <c r="K21" s="87"/>
    </row>
    <row r="22" spans="1:12" ht="15" x14ac:dyDescent="0.25">
      <c r="A22" s="82">
        <v>6200</v>
      </c>
      <c r="B22" s="50" t="s">
        <v>24</v>
      </c>
      <c r="C22" s="65">
        <f t="shared" si="0"/>
        <v>0</v>
      </c>
      <c r="D22" s="124"/>
      <c r="E22" s="124"/>
      <c r="F22" s="124"/>
      <c r="G22" s="124"/>
      <c r="H22" s="124"/>
      <c r="I22" s="124"/>
      <c r="J22" s="124"/>
      <c r="K22" s="124"/>
    </row>
    <row r="23" spans="1:12" ht="15" x14ac:dyDescent="0.25">
      <c r="A23" s="82">
        <v>6300</v>
      </c>
      <c r="B23" s="43" t="s">
        <v>45</v>
      </c>
      <c r="C23" s="65">
        <f t="shared" si="0"/>
        <v>0</v>
      </c>
      <c r="D23" s="87"/>
      <c r="E23" s="87"/>
      <c r="F23" s="87"/>
      <c r="G23" s="87"/>
      <c r="H23" s="87"/>
      <c r="I23" s="87"/>
      <c r="J23" s="87"/>
      <c r="K23" s="87"/>
    </row>
    <row r="24" spans="1:12" ht="30" x14ac:dyDescent="0.25">
      <c r="A24" s="82">
        <v>6400</v>
      </c>
      <c r="B24" s="43" t="s">
        <v>59</v>
      </c>
      <c r="C24" s="65">
        <f t="shared" si="0"/>
        <v>0</v>
      </c>
      <c r="D24" s="87"/>
      <c r="E24" s="87"/>
      <c r="F24" s="87"/>
      <c r="G24" s="87"/>
      <c r="H24" s="87"/>
      <c r="I24" s="87"/>
      <c r="J24" s="87"/>
      <c r="K24" s="87"/>
    </row>
    <row r="25" spans="1:12" ht="15.75" thickBot="1" x14ac:dyDescent="0.3">
      <c r="A25" s="412">
        <v>7200</v>
      </c>
      <c r="B25" s="413" t="s">
        <v>25</v>
      </c>
      <c r="C25" s="68">
        <f t="shared" si="0"/>
        <v>0</v>
      </c>
      <c r="D25" s="291"/>
      <c r="E25" s="291"/>
      <c r="F25" s="291"/>
      <c r="G25" s="291"/>
      <c r="H25" s="291"/>
      <c r="I25" s="291"/>
      <c r="J25" s="291"/>
      <c r="K25" s="291"/>
    </row>
    <row r="26" spans="1:12" ht="15.75" thickBot="1" x14ac:dyDescent="0.3">
      <c r="A26" s="159"/>
      <c r="B26" s="414" t="s">
        <v>26</v>
      </c>
      <c r="C26" s="69">
        <f t="shared" si="0"/>
        <v>349846</v>
      </c>
      <c r="D26" s="155">
        <f t="shared" ref="D26:I26" si="3">SUM(D8+D9+D10+D17+D18+D19+D20+D22+D24+D25)</f>
        <v>26067</v>
      </c>
      <c r="E26" s="59">
        <f>SUM(E8+E9+E10+E17+E18+E19+E20+E22+E24+E25)</f>
        <v>15594</v>
      </c>
      <c r="F26" s="59">
        <f t="shared" si="3"/>
        <v>63579</v>
      </c>
      <c r="G26" s="59">
        <f t="shared" si="3"/>
        <v>135302</v>
      </c>
      <c r="H26" s="59">
        <f t="shared" si="3"/>
        <v>10148</v>
      </c>
      <c r="I26" s="59">
        <f t="shared" si="3"/>
        <v>11656</v>
      </c>
      <c r="J26" s="59">
        <f>SUM(J8+J9+J10+J16+J17+J18+J19+J20+J22+J24+J25)</f>
        <v>7500</v>
      </c>
      <c r="K26" s="59">
        <f>SUM(K8+K9+K10+K16+K17+K18+K19+K20+K22+K24+K25)</f>
        <v>80000</v>
      </c>
      <c r="L26" s="435"/>
    </row>
    <row r="28" spans="1:12" ht="15" x14ac:dyDescent="0.25">
      <c r="B28" s="5" t="s">
        <v>916</v>
      </c>
      <c r="C28" s="2"/>
    </row>
    <row r="31" spans="1:12" x14ac:dyDescent="0.2">
      <c r="E31" s="761"/>
    </row>
  </sheetData>
  <pageMargins left="0.7" right="0.7" top="0.75" bottom="0.75" header="0.3" footer="0.3"/>
  <pageSetup paperSize="9" scale="5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zoomScale="92" zoomScaleNormal="92" workbookViewId="0">
      <selection activeCell="J14" sqref="J14"/>
    </sheetView>
  </sheetViews>
  <sheetFormatPr defaultRowHeight="12.75" x14ac:dyDescent="0.2"/>
  <cols>
    <col min="1" max="1" width="62.5703125" style="20" customWidth="1"/>
    <col min="2" max="2" width="9.85546875" style="19" customWidth="1"/>
    <col min="3" max="4" width="13.5703125" style="27" customWidth="1"/>
    <col min="5" max="5" width="11.85546875" style="27" customWidth="1"/>
    <col min="6" max="239" width="9.140625" style="19"/>
    <col min="240" max="240" width="62.5703125" style="19" customWidth="1"/>
    <col min="241" max="241" width="9.85546875" style="19" customWidth="1"/>
    <col min="242" max="243" width="13.5703125" style="19" customWidth="1"/>
    <col min="244" max="244" width="9.5703125" style="19" bestFit="1" customWidth="1"/>
    <col min="245" max="245" width="10.140625" style="19" customWidth="1"/>
    <col min="246" max="247" width="9.140625" style="19" customWidth="1"/>
    <col min="248" max="248" width="9.85546875" style="19" customWidth="1"/>
    <col min="249" max="495" width="9.140625" style="19"/>
    <col min="496" max="496" width="62.5703125" style="19" customWidth="1"/>
    <col min="497" max="497" width="9.85546875" style="19" customWidth="1"/>
    <col min="498" max="499" width="13.5703125" style="19" customWidth="1"/>
    <col min="500" max="500" width="9.5703125" style="19" bestFit="1" customWidth="1"/>
    <col min="501" max="501" width="10.140625" style="19" customWidth="1"/>
    <col min="502" max="503" width="9.140625" style="19" customWidth="1"/>
    <col min="504" max="504" width="9.85546875" style="19" customWidth="1"/>
    <col min="505" max="751" width="9.140625" style="19"/>
    <col min="752" max="752" width="62.5703125" style="19" customWidth="1"/>
    <col min="753" max="753" width="9.85546875" style="19" customWidth="1"/>
    <col min="754" max="755" width="13.5703125" style="19" customWidth="1"/>
    <col min="756" max="756" width="9.5703125" style="19" bestFit="1" customWidth="1"/>
    <col min="757" max="757" width="10.140625" style="19" customWidth="1"/>
    <col min="758" max="759" width="9.140625" style="19" customWidth="1"/>
    <col min="760" max="760" width="9.85546875" style="19" customWidth="1"/>
    <col min="761" max="1007" width="9.140625" style="19"/>
    <col min="1008" max="1008" width="62.5703125" style="19" customWidth="1"/>
    <col min="1009" max="1009" width="9.85546875" style="19" customWidth="1"/>
    <col min="1010" max="1011" width="13.5703125" style="19" customWidth="1"/>
    <col min="1012" max="1012" width="9.5703125" style="19" bestFit="1" customWidth="1"/>
    <col min="1013" max="1013" width="10.140625" style="19" customWidth="1"/>
    <col min="1014" max="1015" width="9.140625" style="19" customWidth="1"/>
    <col min="1016" max="1016" width="9.85546875" style="19" customWidth="1"/>
    <col min="1017" max="1263" width="9.140625" style="19"/>
    <col min="1264" max="1264" width="62.5703125" style="19" customWidth="1"/>
    <col min="1265" max="1265" width="9.85546875" style="19" customWidth="1"/>
    <col min="1266" max="1267" width="13.5703125" style="19" customWidth="1"/>
    <col min="1268" max="1268" width="9.5703125" style="19" bestFit="1" customWidth="1"/>
    <col min="1269" max="1269" width="10.140625" style="19" customWidth="1"/>
    <col min="1270" max="1271" width="9.140625" style="19" customWidth="1"/>
    <col min="1272" max="1272" width="9.85546875" style="19" customWidth="1"/>
    <col min="1273" max="1519" width="9.140625" style="19"/>
    <col min="1520" max="1520" width="62.5703125" style="19" customWidth="1"/>
    <col min="1521" max="1521" width="9.85546875" style="19" customWidth="1"/>
    <col min="1522" max="1523" width="13.5703125" style="19" customWidth="1"/>
    <col min="1524" max="1524" width="9.5703125" style="19" bestFit="1" customWidth="1"/>
    <col min="1525" max="1525" width="10.140625" style="19" customWidth="1"/>
    <col min="1526" max="1527" width="9.140625" style="19" customWidth="1"/>
    <col min="1528" max="1528" width="9.85546875" style="19" customWidth="1"/>
    <col min="1529" max="1775" width="9.140625" style="19"/>
    <col min="1776" max="1776" width="62.5703125" style="19" customWidth="1"/>
    <col min="1777" max="1777" width="9.85546875" style="19" customWidth="1"/>
    <col min="1778" max="1779" width="13.5703125" style="19" customWidth="1"/>
    <col min="1780" max="1780" width="9.5703125" style="19" bestFit="1" customWidth="1"/>
    <col min="1781" max="1781" width="10.140625" style="19" customWidth="1"/>
    <col min="1782" max="1783" width="9.140625" style="19" customWidth="1"/>
    <col min="1784" max="1784" width="9.85546875" style="19" customWidth="1"/>
    <col min="1785" max="2031" width="9.140625" style="19"/>
    <col min="2032" max="2032" width="62.5703125" style="19" customWidth="1"/>
    <col min="2033" max="2033" width="9.85546875" style="19" customWidth="1"/>
    <col min="2034" max="2035" width="13.5703125" style="19" customWidth="1"/>
    <col min="2036" max="2036" width="9.5703125" style="19" bestFit="1" customWidth="1"/>
    <col min="2037" max="2037" width="10.140625" style="19" customWidth="1"/>
    <col min="2038" max="2039" width="9.140625" style="19" customWidth="1"/>
    <col min="2040" max="2040" width="9.85546875" style="19" customWidth="1"/>
    <col min="2041" max="2287" width="9.140625" style="19"/>
    <col min="2288" max="2288" width="62.5703125" style="19" customWidth="1"/>
    <col min="2289" max="2289" width="9.85546875" style="19" customWidth="1"/>
    <col min="2290" max="2291" width="13.5703125" style="19" customWidth="1"/>
    <col min="2292" max="2292" width="9.5703125" style="19" bestFit="1" customWidth="1"/>
    <col min="2293" max="2293" width="10.140625" style="19" customWidth="1"/>
    <col min="2294" max="2295" width="9.140625" style="19" customWidth="1"/>
    <col min="2296" max="2296" width="9.85546875" style="19" customWidth="1"/>
    <col min="2297" max="2543" width="9.140625" style="19"/>
    <col min="2544" max="2544" width="62.5703125" style="19" customWidth="1"/>
    <col min="2545" max="2545" width="9.85546875" style="19" customWidth="1"/>
    <col min="2546" max="2547" width="13.5703125" style="19" customWidth="1"/>
    <col min="2548" max="2548" width="9.5703125" style="19" bestFit="1" customWidth="1"/>
    <col min="2549" max="2549" width="10.140625" style="19" customWidth="1"/>
    <col min="2550" max="2551" width="9.140625" style="19" customWidth="1"/>
    <col min="2552" max="2552" width="9.85546875" style="19" customWidth="1"/>
    <col min="2553" max="2799" width="9.140625" style="19"/>
    <col min="2800" max="2800" width="62.5703125" style="19" customWidth="1"/>
    <col min="2801" max="2801" width="9.85546875" style="19" customWidth="1"/>
    <col min="2802" max="2803" width="13.5703125" style="19" customWidth="1"/>
    <col min="2804" max="2804" width="9.5703125" style="19" bestFit="1" customWidth="1"/>
    <col min="2805" max="2805" width="10.140625" style="19" customWidth="1"/>
    <col min="2806" max="2807" width="9.140625" style="19" customWidth="1"/>
    <col min="2808" max="2808" width="9.85546875" style="19" customWidth="1"/>
    <col min="2809" max="3055" width="9.140625" style="19"/>
    <col min="3056" max="3056" width="62.5703125" style="19" customWidth="1"/>
    <col min="3057" max="3057" width="9.85546875" style="19" customWidth="1"/>
    <col min="3058" max="3059" width="13.5703125" style="19" customWidth="1"/>
    <col min="3060" max="3060" width="9.5703125" style="19" bestFit="1" customWidth="1"/>
    <col min="3061" max="3061" width="10.140625" style="19" customWidth="1"/>
    <col min="3062" max="3063" width="9.140625" style="19" customWidth="1"/>
    <col min="3064" max="3064" width="9.85546875" style="19" customWidth="1"/>
    <col min="3065" max="3311" width="9.140625" style="19"/>
    <col min="3312" max="3312" width="62.5703125" style="19" customWidth="1"/>
    <col min="3313" max="3313" width="9.85546875" style="19" customWidth="1"/>
    <col min="3314" max="3315" width="13.5703125" style="19" customWidth="1"/>
    <col min="3316" max="3316" width="9.5703125" style="19" bestFit="1" customWidth="1"/>
    <col min="3317" max="3317" width="10.140625" style="19" customWidth="1"/>
    <col min="3318" max="3319" width="9.140625" style="19" customWidth="1"/>
    <col min="3320" max="3320" width="9.85546875" style="19" customWidth="1"/>
    <col min="3321" max="3567" width="9.140625" style="19"/>
    <col min="3568" max="3568" width="62.5703125" style="19" customWidth="1"/>
    <col min="3569" max="3569" width="9.85546875" style="19" customWidth="1"/>
    <col min="3570" max="3571" width="13.5703125" style="19" customWidth="1"/>
    <col min="3572" max="3572" width="9.5703125" style="19" bestFit="1" customWidth="1"/>
    <col min="3573" max="3573" width="10.140625" style="19" customWidth="1"/>
    <col min="3574" max="3575" width="9.140625" style="19" customWidth="1"/>
    <col min="3576" max="3576" width="9.85546875" style="19" customWidth="1"/>
    <col min="3577" max="3823" width="9.140625" style="19"/>
    <col min="3824" max="3824" width="62.5703125" style="19" customWidth="1"/>
    <col min="3825" max="3825" width="9.85546875" style="19" customWidth="1"/>
    <col min="3826" max="3827" width="13.5703125" style="19" customWidth="1"/>
    <col min="3828" max="3828" width="9.5703125" style="19" bestFit="1" customWidth="1"/>
    <col min="3829" max="3829" width="10.140625" style="19" customWidth="1"/>
    <col min="3830" max="3831" width="9.140625" style="19" customWidth="1"/>
    <col min="3832" max="3832" width="9.85546875" style="19" customWidth="1"/>
    <col min="3833" max="4079" width="9.140625" style="19"/>
    <col min="4080" max="4080" width="62.5703125" style="19" customWidth="1"/>
    <col min="4081" max="4081" width="9.85546875" style="19" customWidth="1"/>
    <col min="4082" max="4083" width="13.5703125" style="19" customWidth="1"/>
    <col min="4084" max="4084" width="9.5703125" style="19" bestFit="1" customWidth="1"/>
    <col min="4085" max="4085" width="10.140625" style="19" customWidth="1"/>
    <col min="4086" max="4087" width="9.140625" style="19" customWidth="1"/>
    <col min="4088" max="4088" width="9.85546875" style="19" customWidth="1"/>
    <col min="4089" max="4335" width="9.140625" style="19"/>
    <col min="4336" max="4336" width="62.5703125" style="19" customWidth="1"/>
    <col min="4337" max="4337" width="9.85546875" style="19" customWidth="1"/>
    <col min="4338" max="4339" width="13.5703125" style="19" customWidth="1"/>
    <col min="4340" max="4340" width="9.5703125" style="19" bestFit="1" customWidth="1"/>
    <col min="4341" max="4341" width="10.140625" style="19" customWidth="1"/>
    <col min="4342" max="4343" width="9.140625" style="19" customWidth="1"/>
    <col min="4344" max="4344" width="9.85546875" style="19" customWidth="1"/>
    <col min="4345" max="4591" width="9.140625" style="19"/>
    <col min="4592" max="4592" width="62.5703125" style="19" customWidth="1"/>
    <col min="4593" max="4593" width="9.85546875" style="19" customWidth="1"/>
    <col min="4594" max="4595" width="13.5703125" style="19" customWidth="1"/>
    <col min="4596" max="4596" width="9.5703125" style="19" bestFit="1" customWidth="1"/>
    <col min="4597" max="4597" width="10.140625" style="19" customWidth="1"/>
    <col min="4598" max="4599" width="9.140625" style="19" customWidth="1"/>
    <col min="4600" max="4600" width="9.85546875" style="19" customWidth="1"/>
    <col min="4601" max="4847" width="9.140625" style="19"/>
    <col min="4848" max="4848" width="62.5703125" style="19" customWidth="1"/>
    <col min="4849" max="4849" width="9.85546875" style="19" customWidth="1"/>
    <col min="4850" max="4851" width="13.5703125" style="19" customWidth="1"/>
    <col min="4852" max="4852" width="9.5703125" style="19" bestFit="1" customWidth="1"/>
    <col min="4853" max="4853" width="10.140625" style="19" customWidth="1"/>
    <col min="4854" max="4855" width="9.140625" style="19" customWidth="1"/>
    <col min="4856" max="4856" width="9.85546875" style="19" customWidth="1"/>
    <col min="4857" max="5103" width="9.140625" style="19"/>
    <col min="5104" max="5104" width="62.5703125" style="19" customWidth="1"/>
    <col min="5105" max="5105" width="9.85546875" style="19" customWidth="1"/>
    <col min="5106" max="5107" width="13.5703125" style="19" customWidth="1"/>
    <col min="5108" max="5108" width="9.5703125" style="19" bestFit="1" customWidth="1"/>
    <col min="5109" max="5109" width="10.140625" style="19" customWidth="1"/>
    <col min="5110" max="5111" width="9.140625" style="19" customWidth="1"/>
    <col min="5112" max="5112" width="9.85546875" style="19" customWidth="1"/>
    <col min="5113" max="5359" width="9.140625" style="19"/>
    <col min="5360" max="5360" width="62.5703125" style="19" customWidth="1"/>
    <col min="5361" max="5361" width="9.85546875" style="19" customWidth="1"/>
    <col min="5362" max="5363" width="13.5703125" style="19" customWidth="1"/>
    <col min="5364" max="5364" width="9.5703125" style="19" bestFit="1" customWidth="1"/>
    <col min="5365" max="5365" width="10.140625" style="19" customWidth="1"/>
    <col min="5366" max="5367" width="9.140625" style="19" customWidth="1"/>
    <col min="5368" max="5368" width="9.85546875" style="19" customWidth="1"/>
    <col min="5369" max="5615" width="9.140625" style="19"/>
    <col min="5616" max="5616" width="62.5703125" style="19" customWidth="1"/>
    <col min="5617" max="5617" width="9.85546875" style="19" customWidth="1"/>
    <col min="5618" max="5619" width="13.5703125" style="19" customWidth="1"/>
    <col min="5620" max="5620" width="9.5703125" style="19" bestFit="1" customWidth="1"/>
    <col min="5621" max="5621" width="10.140625" style="19" customWidth="1"/>
    <col min="5622" max="5623" width="9.140625" style="19" customWidth="1"/>
    <col min="5624" max="5624" width="9.85546875" style="19" customWidth="1"/>
    <col min="5625" max="5871" width="9.140625" style="19"/>
    <col min="5872" max="5872" width="62.5703125" style="19" customWidth="1"/>
    <col min="5873" max="5873" width="9.85546875" style="19" customWidth="1"/>
    <col min="5874" max="5875" width="13.5703125" style="19" customWidth="1"/>
    <col min="5876" max="5876" width="9.5703125" style="19" bestFit="1" customWidth="1"/>
    <col min="5877" max="5877" width="10.140625" style="19" customWidth="1"/>
    <col min="5878" max="5879" width="9.140625" style="19" customWidth="1"/>
    <col min="5880" max="5880" width="9.85546875" style="19" customWidth="1"/>
    <col min="5881" max="6127" width="9.140625" style="19"/>
    <col min="6128" max="6128" width="62.5703125" style="19" customWidth="1"/>
    <col min="6129" max="6129" width="9.85546875" style="19" customWidth="1"/>
    <col min="6130" max="6131" width="13.5703125" style="19" customWidth="1"/>
    <col min="6132" max="6132" width="9.5703125" style="19" bestFit="1" customWidth="1"/>
    <col min="6133" max="6133" width="10.140625" style="19" customWidth="1"/>
    <col min="6134" max="6135" width="9.140625" style="19" customWidth="1"/>
    <col min="6136" max="6136" width="9.85546875" style="19" customWidth="1"/>
    <col min="6137" max="6383" width="9.140625" style="19"/>
    <col min="6384" max="6384" width="62.5703125" style="19" customWidth="1"/>
    <col min="6385" max="6385" width="9.85546875" style="19" customWidth="1"/>
    <col min="6386" max="6387" width="13.5703125" style="19" customWidth="1"/>
    <col min="6388" max="6388" width="9.5703125" style="19" bestFit="1" customWidth="1"/>
    <col min="6389" max="6389" width="10.140625" style="19" customWidth="1"/>
    <col min="6390" max="6391" width="9.140625" style="19" customWidth="1"/>
    <col min="6392" max="6392" width="9.85546875" style="19" customWidth="1"/>
    <col min="6393" max="6639" width="9.140625" style="19"/>
    <col min="6640" max="6640" width="62.5703125" style="19" customWidth="1"/>
    <col min="6641" max="6641" width="9.85546875" style="19" customWidth="1"/>
    <col min="6642" max="6643" width="13.5703125" style="19" customWidth="1"/>
    <col min="6644" max="6644" width="9.5703125" style="19" bestFit="1" customWidth="1"/>
    <col min="6645" max="6645" width="10.140625" style="19" customWidth="1"/>
    <col min="6646" max="6647" width="9.140625" style="19" customWidth="1"/>
    <col min="6648" max="6648" width="9.85546875" style="19" customWidth="1"/>
    <col min="6649" max="6895" width="9.140625" style="19"/>
    <col min="6896" max="6896" width="62.5703125" style="19" customWidth="1"/>
    <col min="6897" max="6897" width="9.85546875" style="19" customWidth="1"/>
    <col min="6898" max="6899" width="13.5703125" style="19" customWidth="1"/>
    <col min="6900" max="6900" width="9.5703125" style="19" bestFit="1" customWidth="1"/>
    <col min="6901" max="6901" width="10.140625" style="19" customWidth="1"/>
    <col min="6902" max="6903" width="9.140625" style="19" customWidth="1"/>
    <col min="6904" max="6904" width="9.85546875" style="19" customWidth="1"/>
    <col min="6905" max="7151" width="9.140625" style="19"/>
    <col min="7152" max="7152" width="62.5703125" style="19" customWidth="1"/>
    <col min="7153" max="7153" width="9.85546875" style="19" customWidth="1"/>
    <col min="7154" max="7155" width="13.5703125" style="19" customWidth="1"/>
    <col min="7156" max="7156" width="9.5703125" style="19" bestFit="1" customWidth="1"/>
    <col min="7157" max="7157" width="10.140625" style="19" customWidth="1"/>
    <col min="7158" max="7159" width="9.140625" style="19" customWidth="1"/>
    <col min="7160" max="7160" width="9.85546875" style="19" customWidth="1"/>
    <col min="7161" max="7407" width="9.140625" style="19"/>
    <col min="7408" max="7408" width="62.5703125" style="19" customWidth="1"/>
    <col min="7409" max="7409" width="9.85546875" style="19" customWidth="1"/>
    <col min="7410" max="7411" width="13.5703125" style="19" customWidth="1"/>
    <col min="7412" max="7412" width="9.5703125" style="19" bestFit="1" customWidth="1"/>
    <col min="7413" max="7413" width="10.140625" style="19" customWidth="1"/>
    <col min="7414" max="7415" width="9.140625" style="19" customWidth="1"/>
    <col min="7416" max="7416" width="9.85546875" style="19" customWidth="1"/>
    <col min="7417" max="7663" width="9.140625" style="19"/>
    <col min="7664" max="7664" width="62.5703125" style="19" customWidth="1"/>
    <col min="7665" max="7665" width="9.85546875" style="19" customWidth="1"/>
    <col min="7666" max="7667" width="13.5703125" style="19" customWidth="1"/>
    <col min="7668" max="7668" width="9.5703125" style="19" bestFit="1" customWidth="1"/>
    <col min="7669" max="7669" width="10.140625" style="19" customWidth="1"/>
    <col min="7670" max="7671" width="9.140625" style="19" customWidth="1"/>
    <col min="7672" max="7672" width="9.85546875" style="19" customWidth="1"/>
    <col min="7673" max="7919" width="9.140625" style="19"/>
    <col min="7920" max="7920" width="62.5703125" style="19" customWidth="1"/>
    <col min="7921" max="7921" width="9.85546875" style="19" customWidth="1"/>
    <col min="7922" max="7923" width="13.5703125" style="19" customWidth="1"/>
    <col min="7924" max="7924" width="9.5703125" style="19" bestFit="1" customWidth="1"/>
    <col min="7925" max="7925" width="10.140625" style="19" customWidth="1"/>
    <col min="7926" max="7927" width="9.140625" style="19" customWidth="1"/>
    <col min="7928" max="7928" width="9.85546875" style="19" customWidth="1"/>
    <col min="7929" max="8175" width="9.140625" style="19"/>
    <col min="8176" max="8176" width="62.5703125" style="19" customWidth="1"/>
    <col min="8177" max="8177" width="9.85546875" style="19" customWidth="1"/>
    <col min="8178" max="8179" width="13.5703125" style="19" customWidth="1"/>
    <col min="8180" max="8180" width="9.5703125" style="19" bestFit="1" customWidth="1"/>
    <col min="8181" max="8181" width="10.140625" style="19" customWidth="1"/>
    <col min="8182" max="8183" width="9.140625" style="19" customWidth="1"/>
    <col min="8184" max="8184" width="9.85546875" style="19" customWidth="1"/>
    <col min="8185" max="8431" width="9.140625" style="19"/>
    <col min="8432" max="8432" width="62.5703125" style="19" customWidth="1"/>
    <col min="8433" max="8433" width="9.85546875" style="19" customWidth="1"/>
    <col min="8434" max="8435" width="13.5703125" style="19" customWidth="1"/>
    <col min="8436" max="8436" width="9.5703125" style="19" bestFit="1" customWidth="1"/>
    <col min="8437" max="8437" width="10.140625" style="19" customWidth="1"/>
    <col min="8438" max="8439" width="9.140625" style="19" customWidth="1"/>
    <col min="8440" max="8440" width="9.85546875" style="19" customWidth="1"/>
    <col min="8441" max="8687" width="9.140625" style="19"/>
    <col min="8688" max="8688" width="62.5703125" style="19" customWidth="1"/>
    <col min="8689" max="8689" width="9.85546875" style="19" customWidth="1"/>
    <col min="8690" max="8691" width="13.5703125" style="19" customWidth="1"/>
    <col min="8692" max="8692" width="9.5703125" style="19" bestFit="1" customWidth="1"/>
    <col min="8693" max="8693" width="10.140625" style="19" customWidth="1"/>
    <col min="8694" max="8695" width="9.140625" style="19" customWidth="1"/>
    <col min="8696" max="8696" width="9.85546875" style="19" customWidth="1"/>
    <col min="8697" max="8943" width="9.140625" style="19"/>
    <col min="8944" max="8944" width="62.5703125" style="19" customWidth="1"/>
    <col min="8945" max="8945" width="9.85546875" style="19" customWidth="1"/>
    <col min="8946" max="8947" width="13.5703125" style="19" customWidth="1"/>
    <col min="8948" max="8948" width="9.5703125" style="19" bestFit="1" customWidth="1"/>
    <col min="8949" max="8949" width="10.140625" style="19" customWidth="1"/>
    <col min="8950" max="8951" width="9.140625" style="19" customWidth="1"/>
    <col min="8952" max="8952" width="9.85546875" style="19" customWidth="1"/>
    <col min="8953" max="9199" width="9.140625" style="19"/>
    <col min="9200" max="9200" width="62.5703125" style="19" customWidth="1"/>
    <col min="9201" max="9201" width="9.85546875" style="19" customWidth="1"/>
    <col min="9202" max="9203" width="13.5703125" style="19" customWidth="1"/>
    <col min="9204" max="9204" width="9.5703125" style="19" bestFit="1" customWidth="1"/>
    <col min="9205" max="9205" width="10.140625" style="19" customWidth="1"/>
    <col min="9206" max="9207" width="9.140625" style="19" customWidth="1"/>
    <col min="9208" max="9208" width="9.85546875" style="19" customWidth="1"/>
    <col min="9209" max="9455" width="9.140625" style="19"/>
    <col min="9456" max="9456" width="62.5703125" style="19" customWidth="1"/>
    <col min="9457" max="9457" width="9.85546875" style="19" customWidth="1"/>
    <col min="9458" max="9459" width="13.5703125" style="19" customWidth="1"/>
    <col min="9460" max="9460" width="9.5703125" style="19" bestFit="1" customWidth="1"/>
    <col min="9461" max="9461" width="10.140625" style="19" customWidth="1"/>
    <col min="9462" max="9463" width="9.140625" style="19" customWidth="1"/>
    <col min="9464" max="9464" width="9.85546875" style="19" customWidth="1"/>
    <col min="9465" max="9711" width="9.140625" style="19"/>
    <col min="9712" max="9712" width="62.5703125" style="19" customWidth="1"/>
    <col min="9713" max="9713" width="9.85546875" style="19" customWidth="1"/>
    <col min="9714" max="9715" width="13.5703125" style="19" customWidth="1"/>
    <col min="9716" max="9716" width="9.5703125" style="19" bestFit="1" customWidth="1"/>
    <col min="9717" max="9717" width="10.140625" style="19" customWidth="1"/>
    <col min="9718" max="9719" width="9.140625" style="19" customWidth="1"/>
    <col min="9720" max="9720" width="9.85546875" style="19" customWidth="1"/>
    <col min="9721" max="9967" width="9.140625" style="19"/>
    <col min="9968" max="9968" width="62.5703125" style="19" customWidth="1"/>
    <col min="9969" max="9969" width="9.85546875" style="19" customWidth="1"/>
    <col min="9970" max="9971" width="13.5703125" style="19" customWidth="1"/>
    <col min="9972" max="9972" width="9.5703125" style="19" bestFit="1" customWidth="1"/>
    <col min="9973" max="9973" width="10.140625" style="19" customWidth="1"/>
    <col min="9974" max="9975" width="9.140625" style="19" customWidth="1"/>
    <col min="9976" max="9976" width="9.85546875" style="19" customWidth="1"/>
    <col min="9977" max="10223" width="9.140625" style="19"/>
    <col min="10224" max="10224" width="62.5703125" style="19" customWidth="1"/>
    <col min="10225" max="10225" width="9.85546875" style="19" customWidth="1"/>
    <col min="10226" max="10227" width="13.5703125" style="19" customWidth="1"/>
    <col min="10228" max="10228" width="9.5703125" style="19" bestFit="1" customWidth="1"/>
    <col min="10229" max="10229" width="10.140625" style="19" customWidth="1"/>
    <col min="10230" max="10231" width="9.140625" style="19" customWidth="1"/>
    <col min="10232" max="10232" width="9.85546875" style="19" customWidth="1"/>
    <col min="10233" max="10479" width="9.140625" style="19"/>
    <col min="10480" max="10480" width="62.5703125" style="19" customWidth="1"/>
    <col min="10481" max="10481" width="9.85546875" style="19" customWidth="1"/>
    <col min="10482" max="10483" width="13.5703125" style="19" customWidth="1"/>
    <col min="10484" max="10484" width="9.5703125" style="19" bestFit="1" customWidth="1"/>
    <col min="10485" max="10485" width="10.140625" style="19" customWidth="1"/>
    <col min="10486" max="10487" width="9.140625" style="19" customWidth="1"/>
    <col min="10488" max="10488" width="9.85546875" style="19" customWidth="1"/>
    <col min="10489" max="10735" width="9.140625" style="19"/>
    <col min="10736" max="10736" width="62.5703125" style="19" customWidth="1"/>
    <col min="10737" max="10737" width="9.85546875" style="19" customWidth="1"/>
    <col min="10738" max="10739" width="13.5703125" style="19" customWidth="1"/>
    <col min="10740" max="10740" width="9.5703125" style="19" bestFit="1" customWidth="1"/>
    <col min="10741" max="10741" width="10.140625" style="19" customWidth="1"/>
    <col min="10742" max="10743" width="9.140625" style="19" customWidth="1"/>
    <col min="10744" max="10744" width="9.85546875" style="19" customWidth="1"/>
    <col min="10745" max="10991" width="9.140625" style="19"/>
    <col min="10992" max="10992" width="62.5703125" style="19" customWidth="1"/>
    <col min="10993" max="10993" width="9.85546875" style="19" customWidth="1"/>
    <col min="10994" max="10995" width="13.5703125" style="19" customWidth="1"/>
    <col min="10996" max="10996" width="9.5703125" style="19" bestFit="1" customWidth="1"/>
    <col min="10997" max="10997" width="10.140625" style="19" customWidth="1"/>
    <col min="10998" max="10999" width="9.140625" style="19" customWidth="1"/>
    <col min="11000" max="11000" width="9.85546875" style="19" customWidth="1"/>
    <col min="11001" max="11247" width="9.140625" style="19"/>
    <col min="11248" max="11248" width="62.5703125" style="19" customWidth="1"/>
    <col min="11249" max="11249" width="9.85546875" style="19" customWidth="1"/>
    <col min="11250" max="11251" width="13.5703125" style="19" customWidth="1"/>
    <col min="11252" max="11252" width="9.5703125" style="19" bestFit="1" customWidth="1"/>
    <col min="11253" max="11253" width="10.140625" style="19" customWidth="1"/>
    <col min="11254" max="11255" width="9.140625" style="19" customWidth="1"/>
    <col min="11256" max="11256" width="9.85546875" style="19" customWidth="1"/>
    <col min="11257" max="11503" width="9.140625" style="19"/>
    <col min="11504" max="11504" width="62.5703125" style="19" customWidth="1"/>
    <col min="11505" max="11505" width="9.85546875" style="19" customWidth="1"/>
    <col min="11506" max="11507" width="13.5703125" style="19" customWidth="1"/>
    <col min="11508" max="11508" width="9.5703125" style="19" bestFit="1" customWidth="1"/>
    <col min="11509" max="11509" width="10.140625" style="19" customWidth="1"/>
    <col min="11510" max="11511" width="9.140625" style="19" customWidth="1"/>
    <col min="11512" max="11512" width="9.85546875" style="19" customWidth="1"/>
    <col min="11513" max="11759" width="9.140625" style="19"/>
    <col min="11760" max="11760" width="62.5703125" style="19" customWidth="1"/>
    <col min="11761" max="11761" width="9.85546875" style="19" customWidth="1"/>
    <col min="11762" max="11763" width="13.5703125" style="19" customWidth="1"/>
    <col min="11764" max="11764" width="9.5703125" style="19" bestFit="1" customWidth="1"/>
    <col min="11765" max="11765" width="10.140625" style="19" customWidth="1"/>
    <col min="11766" max="11767" width="9.140625" style="19" customWidth="1"/>
    <col min="11768" max="11768" width="9.85546875" style="19" customWidth="1"/>
    <col min="11769" max="12015" width="9.140625" style="19"/>
    <col min="12016" max="12016" width="62.5703125" style="19" customWidth="1"/>
    <col min="12017" max="12017" width="9.85546875" style="19" customWidth="1"/>
    <col min="12018" max="12019" width="13.5703125" style="19" customWidth="1"/>
    <col min="12020" max="12020" width="9.5703125" style="19" bestFit="1" customWidth="1"/>
    <col min="12021" max="12021" width="10.140625" style="19" customWidth="1"/>
    <col min="12022" max="12023" width="9.140625" style="19" customWidth="1"/>
    <col min="12024" max="12024" width="9.85546875" style="19" customWidth="1"/>
    <col min="12025" max="12271" width="9.140625" style="19"/>
    <col min="12272" max="12272" width="62.5703125" style="19" customWidth="1"/>
    <col min="12273" max="12273" width="9.85546875" style="19" customWidth="1"/>
    <col min="12274" max="12275" width="13.5703125" style="19" customWidth="1"/>
    <col min="12276" max="12276" width="9.5703125" style="19" bestFit="1" customWidth="1"/>
    <col min="12277" max="12277" width="10.140625" style="19" customWidth="1"/>
    <col min="12278" max="12279" width="9.140625" style="19" customWidth="1"/>
    <col min="12280" max="12280" width="9.85546875" style="19" customWidth="1"/>
    <col min="12281" max="12527" width="9.140625" style="19"/>
    <col min="12528" max="12528" width="62.5703125" style="19" customWidth="1"/>
    <col min="12529" max="12529" width="9.85546875" style="19" customWidth="1"/>
    <col min="12530" max="12531" width="13.5703125" style="19" customWidth="1"/>
    <col min="12532" max="12532" width="9.5703125" style="19" bestFit="1" customWidth="1"/>
    <col min="12533" max="12533" width="10.140625" style="19" customWidth="1"/>
    <col min="12534" max="12535" width="9.140625" style="19" customWidth="1"/>
    <col min="12536" max="12536" width="9.85546875" style="19" customWidth="1"/>
    <col min="12537" max="12783" width="9.140625" style="19"/>
    <col min="12784" max="12784" width="62.5703125" style="19" customWidth="1"/>
    <col min="12785" max="12785" width="9.85546875" style="19" customWidth="1"/>
    <col min="12786" max="12787" width="13.5703125" style="19" customWidth="1"/>
    <col min="12788" max="12788" width="9.5703125" style="19" bestFit="1" customWidth="1"/>
    <col min="12789" max="12789" width="10.140625" style="19" customWidth="1"/>
    <col min="12790" max="12791" width="9.140625" style="19" customWidth="1"/>
    <col min="12792" max="12792" width="9.85546875" style="19" customWidth="1"/>
    <col min="12793" max="13039" width="9.140625" style="19"/>
    <col min="13040" max="13040" width="62.5703125" style="19" customWidth="1"/>
    <col min="13041" max="13041" width="9.85546875" style="19" customWidth="1"/>
    <col min="13042" max="13043" width="13.5703125" style="19" customWidth="1"/>
    <col min="13044" max="13044" width="9.5703125" style="19" bestFit="1" customWidth="1"/>
    <col min="13045" max="13045" width="10.140625" style="19" customWidth="1"/>
    <col min="13046" max="13047" width="9.140625" style="19" customWidth="1"/>
    <col min="13048" max="13048" width="9.85546875" style="19" customWidth="1"/>
    <col min="13049" max="13295" width="9.140625" style="19"/>
    <col min="13296" max="13296" width="62.5703125" style="19" customWidth="1"/>
    <col min="13297" max="13297" width="9.85546875" style="19" customWidth="1"/>
    <col min="13298" max="13299" width="13.5703125" style="19" customWidth="1"/>
    <col min="13300" max="13300" width="9.5703125" style="19" bestFit="1" customWidth="1"/>
    <col min="13301" max="13301" width="10.140625" style="19" customWidth="1"/>
    <col min="13302" max="13303" width="9.140625" style="19" customWidth="1"/>
    <col min="13304" max="13304" width="9.85546875" style="19" customWidth="1"/>
    <col min="13305" max="13551" width="9.140625" style="19"/>
    <col min="13552" max="13552" width="62.5703125" style="19" customWidth="1"/>
    <col min="13553" max="13553" width="9.85546875" style="19" customWidth="1"/>
    <col min="13554" max="13555" width="13.5703125" style="19" customWidth="1"/>
    <col min="13556" max="13556" width="9.5703125" style="19" bestFit="1" customWidth="1"/>
    <col min="13557" max="13557" width="10.140625" style="19" customWidth="1"/>
    <col min="13558" max="13559" width="9.140625" style="19" customWidth="1"/>
    <col min="13560" max="13560" width="9.85546875" style="19" customWidth="1"/>
    <col min="13561" max="13807" width="9.140625" style="19"/>
    <col min="13808" max="13808" width="62.5703125" style="19" customWidth="1"/>
    <col min="13809" max="13809" width="9.85546875" style="19" customWidth="1"/>
    <col min="13810" max="13811" width="13.5703125" style="19" customWidth="1"/>
    <col min="13812" max="13812" width="9.5703125" style="19" bestFit="1" customWidth="1"/>
    <col min="13813" max="13813" width="10.140625" style="19" customWidth="1"/>
    <col min="13814" max="13815" width="9.140625" style="19" customWidth="1"/>
    <col min="13816" max="13816" width="9.85546875" style="19" customWidth="1"/>
    <col min="13817" max="14063" width="9.140625" style="19"/>
    <col min="14064" max="14064" width="62.5703125" style="19" customWidth="1"/>
    <col min="14065" max="14065" width="9.85546875" style="19" customWidth="1"/>
    <col min="14066" max="14067" width="13.5703125" style="19" customWidth="1"/>
    <col min="14068" max="14068" width="9.5703125" style="19" bestFit="1" customWidth="1"/>
    <col min="14069" max="14069" width="10.140625" style="19" customWidth="1"/>
    <col min="14070" max="14071" width="9.140625" style="19" customWidth="1"/>
    <col min="14072" max="14072" width="9.85546875" style="19" customWidth="1"/>
    <col min="14073" max="14319" width="9.140625" style="19"/>
    <col min="14320" max="14320" width="62.5703125" style="19" customWidth="1"/>
    <col min="14321" max="14321" width="9.85546875" style="19" customWidth="1"/>
    <col min="14322" max="14323" width="13.5703125" style="19" customWidth="1"/>
    <col min="14324" max="14324" width="9.5703125" style="19" bestFit="1" customWidth="1"/>
    <col min="14325" max="14325" width="10.140625" style="19" customWidth="1"/>
    <col min="14326" max="14327" width="9.140625" style="19" customWidth="1"/>
    <col min="14328" max="14328" width="9.85546875" style="19" customWidth="1"/>
    <col min="14329" max="14575" width="9.140625" style="19"/>
    <col min="14576" max="14576" width="62.5703125" style="19" customWidth="1"/>
    <col min="14577" max="14577" width="9.85546875" style="19" customWidth="1"/>
    <col min="14578" max="14579" width="13.5703125" style="19" customWidth="1"/>
    <col min="14580" max="14580" width="9.5703125" style="19" bestFit="1" customWidth="1"/>
    <col min="14581" max="14581" width="10.140625" style="19" customWidth="1"/>
    <col min="14582" max="14583" width="9.140625" style="19" customWidth="1"/>
    <col min="14584" max="14584" width="9.85546875" style="19" customWidth="1"/>
    <col min="14585" max="14831" width="9.140625" style="19"/>
    <col min="14832" max="14832" width="62.5703125" style="19" customWidth="1"/>
    <col min="14833" max="14833" width="9.85546875" style="19" customWidth="1"/>
    <col min="14834" max="14835" width="13.5703125" style="19" customWidth="1"/>
    <col min="14836" max="14836" width="9.5703125" style="19" bestFit="1" customWidth="1"/>
    <col min="14837" max="14837" width="10.140625" style="19" customWidth="1"/>
    <col min="14838" max="14839" width="9.140625" style="19" customWidth="1"/>
    <col min="14840" max="14840" width="9.85546875" style="19" customWidth="1"/>
    <col min="14841" max="15087" width="9.140625" style="19"/>
    <col min="15088" max="15088" width="62.5703125" style="19" customWidth="1"/>
    <col min="15089" max="15089" width="9.85546875" style="19" customWidth="1"/>
    <col min="15090" max="15091" width="13.5703125" style="19" customWidth="1"/>
    <col min="15092" max="15092" width="9.5703125" style="19" bestFit="1" customWidth="1"/>
    <col min="15093" max="15093" width="10.140625" style="19" customWidth="1"/>
    <col min="15094" max="15095" width="9.140625" style="19" customWidth="1"/>
    <col min="15096" max="15096" width="9.85546875" style="19" customWidth="1"/>
    <col min="15097" max="15343" width="9.140625" style="19"/>
    <col min="15344" max="15344" width="62.5703125" style="19" customWidth="1"/>
    <col min="15345" max="15345" width="9.85546875" style="19" customWidth="1"/>
    <col min="15346" max="15347" width="13.5703125" style="19" customWidth="1"/>
    <col min="15348" max="15348" width="9.5703125" style="19" bestFit="1" customWidth="1"/>
    <col min="15349" max="15349" width="10.140625" style="19" customWidth="1"/>
    <col min="15350" max="15351" width="9.140625" style="19" customWidth="1"/>
    <col min="15352" max="15352" width="9.85546875" style="19" customWidth="1"/>
    <col min="15353" max="15599" width="9.140625" style="19"/>
    <col min="15600" max="15600" width="62.5703125" style="19" customWidth="1"/>
    <col min="15601" max="15601" width="9.85546875" style="19" customWidth="1"/>
    <col min="15602" max="15603" width="13.5703125" style="19" customWidth="1"/>
    <col min="15604" max="15604" width="9.5703125" style="19" bestFit="1" customWidth="1"/>
    <col min="15605" max="15605" width="10.140625" style="19" customWidth="1"/>
    <col min="15606" max="15607" width="9.140625" style="19" customWidth="1"/>
    <col min="15608" max="15608" width="9.85546875" style="19" customWidth="1"/>
    <col min="15609" max="15855" width="9.140625" style="19"/>
    <col min="15856" max="15856" width="62.5703125" style="19" customWidth="1"/>
    <col min="15857" max="15857" width="9.85546875" style="19" customWidth="1"/>
    <col min="15858" max="15859" width="13.5703125" style="19" customWidth="1"/>
    <col min="15860" max="15860" width="9.5703125" style="19" bestFit="1" customWidth="1"/>
    <col min="15861" max="15861" width="10.140625" style="19" customWidth="1"/>
    <col min="15862" max="15863" width="9.140625" style="19" customWidth="1"/>
    <col min="15864" max="15864" width="9.85546875" style="19" customWidth="1"/>
    <col min="15865" max="16111" width="9.140625" style="19"/>
    <col min="16112" max="16112" width="62.5703125" style="19" customWidth="1"/>
    <col min="16113" max="16113" width="9.85546875" style="19" customWidth="1"/>
    <col min="16114" max="16115" width="13.5703125" style="19" customWidth="1"/>
    <col min="16116" max="16116" width="9.5703125" style="19" bestFit="1" customWidth="1"/>
    <col min="16117" max="16117" width="10.140625" style="19" customWidth="1"/>
    <col min="16118" max="16119" width="9.140625" style="19" customWidth="1"/>
    <col min="16120" max="16120" width="9.85546875" style="19" customWidth="1"/>
    <col min="16121" max="16378" width="9.140625" style="19"/>
    <col min="16379" max="16379" width="9.140625" style="19" customWidth="1"/>
    <col min="16380" max="16384" width="9.140625" style="19"/>
  </cols>
  <sheetData>
    <row r="1" spans="1:5" ht="15" x14ac:dyDescent="0.25">
      <c r="C1" s="2" t="s">
        <v>301</v>
      </c>
    </row>
    <row r="2" spans="1:5" ht="21" thickBot="1" x14ac:dyDescent="0.35">
      <c r="A2" s="911" t="s">
        <v>926</v>
      </c>
      <c r="B2" s="911"/>
      <c r="C2" s="911"/>
      <c r="D2" s="738"/>
      <c r="E2" s="738"/>
    </row>
    <row r="3" spans="1:5" ht="48" thickBot="1" x14ac:dyDescent="0.3">
      <c r="A3" s="703" t="s">
        <v>34</v>
      </c>
      <c r="B3" s="230" t="s">
        <v>7</v>
      </c>
      <c r="C3" s="231" t="s">
        <v>724</v>
      </c>
      <c r="D3" s="475"/>
      <c r="E3" s="434"/>
    </row>
    <row r="4" spans="1:5" ht="15.75" x14ac:dyDescent="0.25">
      <c r="A4" s="253" t="s">
        <v>394</v>
      </c>
      <c r="B4" s="23">
        <v>5100</v>
      </c>
      <c r="C4" s="877">
        <f>241750-50000-2084</f>
        <v>189666</v>
      </c>
      <c r="D4" s="195"/>
      <c r="E4" s="19"/>
    </row>
    <row r="5" spans="1:5" ht="15.75" x14ac:dyDescent="0.25">
      <c r="A5" s="253" t="s">
        <v>394</v>
      </c>
      <c r="B5" s="23">
        <v>2200</v>
      </c>
      <c r="C5" s="877">
        <v>2084</v>
      </c>
      <c r="D5" s="195"/>
      <c r="E5" s="19"/>
    </row>
    <row r="6" spans="1:5" ht="30" x14ac:dyDescent="0.25">
      <c r="A6" s="823" t="s">
        <v>764</v>
      </c>
      <c r="B6" s="23">
        <v>5100</v>
      </c>
      <c r="C6" s="877">
        <v>26700</v>
      </c>
      <c r="D6" s="195"/>
      <c r="E6" s="19"/>
    </row>
    <row r="7" spans="1:5" ht="15.75" x14ac:dyDescent="0.25">
      <c r="A7" s="823" t="s">
        <v>605</v>
      </c>
      <c r="B7" s="23">
        <v>5100</v>
      </c>
      <c r="C7" s="877">
        <v>72600</v>
      </c>
      <c r="D7" s="195"/>
      <c r="E7" s="19"/>
    </row>
    <row r="8" spans="1:5" ht="30" x14ac:dyDescent="0.25">
      <c r="A8" s="99" t="s">
        <v>767</v>
      </c>
      <c r="B8" s="23">
        <v>5200</v>
      </c>
      <c r="C8" s="877">
        <v>12000</v>
      </c>
      <c r="D8" s="195"/>
      <c r="E8" s="19"/>
    </row>
    <row r="9" spans="1:5" ht="27.75" customHeight="1" x14ac:dyDescent="0.25">
      <c r="A9" s="99" t="s">
        <v>768</v>
      </c>
      <c r="B9" s="23">
        <v>5200</v>
      </c>
      <c r="C9" s="877">
        <f>12000-12000</f>
        <v>0</v>
      </c>
      <c r="D9" s="195"/>
      <c r="E9" s="19"/>
    </row>
    <row r="10" spans="1:5" ht="30" x14ac:dyDescent="0.25">
      <c r="A10" s="823" t="s">
        <v>759</v>
      </c>
      <c r="B10" s="23">
        <v>5200</v>
      </c>
      <c r="C10" s="877">
        <v>10000</v>
      </c>
      <c r="D10" s="195"/>
      <c r="E10" s="19"/>
    </row>
    <row r="11" spans="1:5" ht="15.75" x14ac:dyDescent="0.25">
      <c r="A11" s="823" t="s">
        <v>765</v>
      </c>
      <c r="B11" s="23">
        <v>5200</v>
      </c>
      <c r="C11" s="877">
        <f>10000+830</f>
        <v>10830</v>
      </c>
      <c r="D11" s="195"/>
      <c r="E11" s="19"/>
    </row>
    <row r="12" spans="1:5" s="22" customFormat="1" ht="31.5" x14ac:dyDescent="0.25">
      <c r="A12" s="139" t="s">
        <v>760</v>
      </c>
      <c r="B12" s="23">
        <v>5200</v>
      </c>
      <c r="C12" s="877">
        <v>5000</v>
      </c>
      <c r="D12" s="195"/>
      <c r="E12" s="195"/>
    </row>
    <row r="13" spans="1:5" s="22" customFormat="1" ht="15.75" x14ac:dyDescent="0.25">
      <c r="A13" s="202" t="s">
        <v>786</v>
      </c>
      <c r="B13" s="11">
        <v>5200</v>
      </c>
      <c r="C13" s="878">
        <f>18500+5216</f>
        <v>23716</v>
      </c>
      <c r="D13" s="195"/>
      <c r="E13" s="195"/>
    </row>
    <row r="14" spans="1:5" s="22" customFormat="1" ht="32.25" thickBot="1" x14ac:dyDescent="0.3">
      <c r="A14" s="695" t="s">
        <v>766</v>
      </c>
      <c r="B14" s="11">
        <v>5200</v>
      </c>
      <c r="C14" s="878">
        <v>14000</v>
      </c>
      <c r="D14" s="195"/>
      <c r="E14" s="25"/>
    </row>
    <row r="15" spans="1:5" ht="16.5" thickBot="1" x14ac:dyDescent="0.3">
      <c r="A15" s="24" t="s">
        <v>28</v>
      </c>
      <c r="B15" s="14"/>
      <c r="C15" s="28">
        <f>SUM(C4:C14)</f>
        <v>366596</v>
      </c>
      <c r="D15" s="25"/>
      <c r="E15" s="25"/>
    </row>
    <row r="16" spans="1:5" ht="15.75" x14ac:dyDescent="0.25">
      <c r="A16" s="32"/>
      <c r="B16" s="26"/>
      <c r="C16" s="25"/>
      <c r="D16" s="25"/>
      <c r="E16" s="25"/>
    </row>
    <row r="17" spans="1:5" ht="15.75" x14ac:dyDescent="0.25">
      <c r="A17" s="31"/>
      <c r="B17" s="26"/>
      <c r="C17" s="25"/>
      <c r="D17" s="25"/>
      <c r="E17" s="25"/>
    </row>
    <row r="18" spans="1:5" ht="21" thickBot="1" x14ac:dyDescent="0.35">
      <c r="A18" s="912" t="s">
        <v>392</v>
      </c>
      <c r="B18" s="912"/>
      <c r="C18" s="912"/>
      <c r="D18" s="738"/>
      <c r="E18" s="738"/>
    </row>
    <row r="19" spans="1:5" ht="48" thickBot="1" x14ac:dyDescent="0.3">
      <c r="A19" s="703" t="s">
        <v>34</v>
      </c>
      <c r="B19" s="230" t="s">
        <v>7</v>
      </c>
      <c r="C19" s="231" t="s">
        <v>725</v>
      </c>
      <c r="D19" s="475"/>
      <c r="E19" s="439"/>
    </row>
    <row r="20" spans="1:5" ht="31.5" x14ac:dyDescent="0.25">
      <c r="A20" s="165" t="s">
        <v>565</v>
      </c>
      <c r="B20" s="157">
        <v>2200</v>
      </c>
      <c r="C20" s="461">
        <f>151233+30250+12075</f>
        <v>193558</v>
      </c>
      <c r="D20" s="196"/>
      <c r="E20" s="860"/>
    </row>
    <row r="21" spans="1:5" ht="31.5" x14ac:dyDescent="0.25">
      <c r="A21" s="165" t="s">
        <v>561</v>
      </c>
      <c r="B21" s="11">
        <v>2200</v>
      </c>
      <c r="C21" s="162">
        <f>30813+17545</f>
        <v>48358</v>
      </c>
      <c r="D21" s="195"/>
      <c r="E21" s="195"/>
    </row>
    <row r="22" spans="1:5" ht="31.5" x14ac:dyDescent="0.25">
      <c r="A22" s="165" t="s">
        <v>562</v>
      </c>
      <c r="B22" s="11">
        <v>2200</v>
      </c>
      <c r="C22" s="17">
        <f>31809+17545</f>
        <v>49354</v>
      </c>
      <c r="D22" s="195"/>
      <c r="E22" s="195"/>
    </row>
    <row r="23" spans="1:5" ht="31.5" x14ac:dyDescent="0.25">
      <c r="A23" s="165" t="s">
        <v>552</v>
      </c>
      <c r="B23" s="11">
        <v>2200</v>
      </c>
      <c r="C23" s="460">
        <v>34659</v>
      </c>
      <c r="D23" s="195"/>
      <c r="E23" s="195"/>
    </row>
    <row r="24" spans="1:5" ht="15.75" x14ac:dyDescent="0.25">
      <c r="A24" s="21" t="s">
        <v>564</v>
      </c>
      <c r="B24" s="11">
        <v>2200</v>
      </c>
      <c r="C24" s="16">
        <f>430000-24000</f>
        <v>406000</v>
      </c>
      <c r="D24" s="195"/>
      <c r="E24" s="195"/>
    </row>
    <row r="25" spans="1:5" ht="15.75" x14ac:dyDescent="0.25">
      <c r="A25" s="702" t="s">
        <v>915</v>
      </c>
      <c r="B25" s="11">
        <v>5200</v>
      </c>
      <c r="C25" s="16">
        <v>24640</v>
      </c>
      <c r="D25" s="195"/>
      <c r="E25" s="195"/>
    </row>
    <row r="26" spans="1:5" ht="31.5" x14ac:dyDescent="0.25">
      <c r="A26" s="702" t="s">
        <v>787</v>
      </c>
      <c r="B26" s="11">
        <v>2200</v>
      </c>
      <c r="C26" s="16">
        <f>30000-11508</f>
        <v>18492</v>
      </c>
      <c r="D26" s="832"/>
      <c r="E26" s="195"/>
    </row>
    <row r="27" spans="1:5" ht="31.5" x14ac:dyDescent="0.25">
      <c r="A27" s="21" t="s">
        <v>160</v>
      </c>
      <c r="B27" s="11">
        <v>5200</v>
      </c>
      <c r="C27" s="16">
        <v>30000</v>
      </c>
      <c r="D27" s="195"/>
      <c r="E27" s="195"/>
    </row>
    <row r="28" spans="1:5" ht="90" x14ac:dyDescent="0.25">
      <c r="A28" s="708" t="s">
        <v>791</v>
      </c>
      <c r="B28" s="12">
        <v>5200</v>
      </c>
      <c r="C28" s="15">
        <v>13915</v>
      </c>
      <c r="D28" s="154"/>
      <c r="E28" s="154"/>
    </row>
    <row r="29" spans="1:5" ht="47.25" x14ac:dyDescent="0.25">
      <c r="A29" s="21" t="s">
        <v>790</v>
      </c>
      <c r="B29" s="11">
        <v>5200</v>
      </c>
      <c r="C29" s="16">
        <v>25000</v>
      </c>
      <c r="D29" s="195"/>
      <c r="E29" s="195"/>
    </row>
    <row r="30" spans="1:5" ht="15.75" x14ac:dyDescent="0.25">
      <c r="A30" s="21" t="s">
        <v>563</v>
      </c>
      <c r="B30" s="11">
        <v>2200</v>
      </c>
      <c r="C30" s="16">
        <f>100000-24640</f>
        <v>75360</v>
      </c>
      <c r="D30" s="195"/>
      <c r="E30" s="195"/>
    </row>
    <row r="31" spans="1:5" ht="16.5" thickBot="1" x14ac:dyDescent="0.3">
      <c r="A31" s="21" t="s">
        <v>600</v>
      </c>
      <c r="B31" s="11">
        <v>2200</v>
      </c>
      <c r="C31" s="16">
        <v>10648</v>
      </c>
      <c r="D31" s="195"/>
      <c r="E31" s="195"/>
    </row>
    <row r="32" spans="1:5" ht="16.5" thickBot="1" x14ac:dyDescent="0.3">
      <c r="A32" s="24" t="s">
        <v>28</v>
      </c>
      <c r="B32" s="14"/>
      <c r="C32" s="28">
        <f>SUM(C20:C31)</f>
        <v>929984</v>
      </c>
      <c r="D32" s="25"/>
      <c r="E32" s="25"/>
    </row>
    <row r="33" spans="1:5" ht="15.75" x14ac:dyDescent="0.25">
      <c r="A33" s="32"/>
      <c r="B33" s="26"/>
      <c r="C33" s="25"/>
      <c r="D33" s="25"/>
      <c r="E33" s="25"/>
    </row>
    <row r="34" spans="1:5" ht="15.75" customHeight="1" x14ac:dyDescent="0.25">
      <c r="A34" s="31"/>
      <c r="B34" s="26"/>
      <c r="C34" s="25"/>
      <c r="D34" s="25"/>
      <c r="E34" s="25"/>
    </row>
    <row r="35" spans="1:5" ht="38.25" customHeight="1" thickBot="1" x14ac:dyDescent="0.35">
      <c r="A35" s="914" t="s">
        <v>674</v>
      </c>
      <c r="B35" s="914"/>
      <c r="C35" s="914"/>
    </row>
    <row r="36" spans="1:5" ht="48" thickBot="1" x14ac:dyDescent="0.3">
      <c r="A36" s="703" t="s">
        <v>34</v>
      </c>
      <c r="B36" s="233" t="s">
        <v>7</v>
      </c>
      <c r="C36" s="231" t="s">
        <v>725</v>
      </c>
      <c r="D36" s="475"/>
      <c r="E36" s="129"/>
    </row>
    <row r="37" spans="1:5" ht="15.75" x14ac:dyDescent="0.25">
      <c r="A37" s="704" t="s">
        <v>300</v>
      </c>
      <c r="B37" s="12">
        <v>2200</v>
      </c>
      <c r="C37" s="15">
        <v>90000</v>
      </c>
      <c r="D37" s="154"/>
      <c r="E37" s="154"/>
    </row>
    <row r="38" spans="1:5" ht="31.5" x14ac:dyDescent="0.25">
      <c r="A38" s="704" t="s">
        <v>772</v>
      </c>
      <c r="B38" s="12">
        <v>5200</v>
      </c>
      <c r="C38" s="15">
        <v>10890</v>
      </c>
      <c r="D38" s="154"/>
      <c r="E38" s="154"/>
    </row>
    <row r="39" spans="1:5" ht="31.5" x14ac:dyDescent="0.25">
      <c r="A39" s="139" t="s">
        <v>788</v>
      </c>
      <c r="B39" s="12">
        <v>2200</v>
      </c>
      <c r="C39" s="15">
        <f>18150+33033</f>
        <v>51183</v>
      </c>
      <c r="D39" s="154"/>
      <c r="E39" s="154"/>
    </row>
    <row r="40" spans="1:5" x14ac:dyDescent="0.2">
      <c r="A40" s="705" t="s">
        <v>789</v>
      </c>
      <c r="B40" s="706">
        <v>5200</v>
      </c>
      <c r="C40" s="707">
        <v>51757</v>
      </c>
    </row>
    <row r="41" spans="1:5" ht="30" x14ac:dyDescent="0.25">
      <c r="A41" s="733" t="s">
        <v>866</v>
      </c>
      <c r="B41" s="12">
        <v>5200</v>
      </c>
      <c r="C41" s="879">
        <v>85000</v>
      </c>
      <c r="D41" s="154"/>
      <c r="E41" s="154"/>
    </row>
    <row r="42" spans="1:5" ht="30" x14ac:dyDescent="0.25">
      <c r="A42" s="733" t="s">
        <v>867</v>
      </c>
      <c r="B42" s="12">
        <v>5200</v>
      </c>
      <c r="C42" s="879">
        <v>55000</v>
      </c>
      <c r="D42" s="154"/>
      <c r="E42" s="154"/>
    </row>
    <row r="43" spans="1:5" ht="16.5" thickBot="1" x14ac:dyDescent="0.3">
      <c r="A43" s="21" t="s">
        <v>395</v>
      </c>
      <c r="B43" s="12">
        <v>2200</v>
      </c>
      <c r="C43" s="15">
        <v>20000</v>
      </c>
      <c r="D43" s="154"/>
      <c r="E43" s="154"/>
    </row>
    <row r="44" spans="1:5" ht="16.5" thickBot="1" x14ac:dyDescent="0.3">
      <c r="A44" s="315" t="s">
        <v>29</v>
      </c>
      <c r="B44" s="141"/>
      <c r="C44" s="142">
        <f>SUM(C37:C43)</f>
        <v>363830</v>
      </c>
      <c r="D44" s="8"/>
      <c r="E44" s="8"/>
    </row>
    <row r="45" spans="1:5" ht="15.75" x14ac:dyDescent="0.25">
      <c r="A45" s="31"/>
      <c r="B45" s="3"/>
      <c r="C45" s="8"/>
      <c r="D45" s="8"/>
      <c r="E45" s="8"/>
    </row>
    <row r="46" spans="1:5" ht="15.75" x14ac:dyDescent="0.25">
      <c r="A46" s="138"/>
      <c r="B46" s="10"/>
      <c r="C46" s="195"/>
      <c r="D46" s="195"/>
      <c r="E46" s="195"/>
    </row>
    <row r="47" spans="1:5" ht="21" thickBot="1" x14ac:dyDescent="0.35">
      <c r="A47" s="912" t="s">
        <v>393</v>
      </c>
      <c r="B47" s="912"/>
      <c r="C47" s="912"/>
      <c r="D47" s="738"/>
      <c r="E47" s="738"/>
    </row>
    <row r="48" spans="1:5" ht="48" thickBot="1" x14ac:dyDescent="0.3">
      <c r="A48" s="703" t="s">
        <v>34</v>
      </c>
      <c r="B48" s="230" t="s">
        <v>7</v>
      </c>
      <c r="C48" s="231" t="s">
        <v>725</v>
      </c>
      <c r="D48" s="475"/>
      <c r="E48" s="368"/>
    </row>
    <row r="49" spans="1:5" ht="15.75" x14ac:dyDescent="0.25">
      <c r="A49" s="29" t="s">
        <v>161</v>
      </c>
      <c r="B49" s="11">
        <v>2200</v>
      </c>
      <c r="C49" s="337">
        <v>300</v>
      </c>
      <c r="D49" s="369"/>
      <c r="E49" s="369"/>
    </row>
    <row r="50" spans="1:5" ht="15.75" x14ac:dyDescent="0.25">
      <c r="A50" s="18" t="s">
        <v>162</v>
      </c>
      <c r="B50" s="11">
        <v>2200</v>
      </c>
      <c r="C50" s="337">
        <v>5300</v>
      </c>
      <c r="D50" s="369"/>
      <c r="E50" s="369"/>
    </row>
    <row r="51" spans="1:5" ht="32.25" thickBot="1" x14ac:dyDescent="0.3">
      <c r="A51" s="194" t="s">
        <v>201</v>
      </c>
      <c r="B51" s="11">
        <v>2200</v>
      </c>
      <c r="C51" s="490">
        <v>10605</v>
      </c>
    </row>
    <row r="52" spans="1:5" ht="16.5" thickBot="1" x14ac:dyDescent="0.3">
      <c r="A52" s="30" t="s">
        <v>28</v>
      </c>
      <c r="B52" s="14"/>
      <c r="C52" s="197">
        <f>SUM(C49:C51)</f>
        <v>16205</v>
      </c>
      <c r="D52" s="154"/>
      <c r="E52" s="154"/>
    </row>
    <row r="53" spans="1:5" ht="15.75" x14ac:dyDescent="0.25">
      <c r="A53" s="32"/>
      <c r="B53" s="26"/>
      <c r="C53" s="25"/>
      <c r="D53" s="25"/>
      <c r="E53" s="19"/>
    </row>
    <row r="54" spans="1:5" ht="15.75" x14ac:dyDescent="0.25">
      <c r="A54" s="32"/>
      <c r="B54" s="26"/>
      <c r="C54" s="25"/>
      <c r="D54" s="25"/>
      <c r="E54" s="19"/>
    </row>
    <row r="55" spans="1:5" ht="17.25" thickBot="1" x14ac:dyDescent="0.3">
      <c r="A55" s="913" t="s">
        <v>671</v>
      </c>
      <c r="B55" s="913"/>
      <c r="C55" s="913"/>
      <c r="D55" s="25"/>
      <c r="E55" s="19"/>
    </row>
    <row r="56" spans="1:5" ht="48" thickBot="1" x14ac:dyDescent="0.3">
      <c r="A56" s="703" t="s">
        <v>34</v>
      </c>
      <c r="B56" s="230" t="s">
        <v>7</v>
      </c>
      <c r="C56" s="231" t="s">
        <v>725</v>
      </c>
      <c r="D56" s="25"/>
      <c r="E56" s="19"/>
    </row>
    <row r="57" spans="1:5" ht="15.75" x14ac:dyDescent="0.25">
      <c r="A57" s="29" t="s">
        <v>672</v>
      </c>
      <c r="B57" s="11">
        <v>2200</v>
      </c>
      <c r="C57" s="337">
        <v>80500</v>
      </c>
      <c r="D57" s="25"/>
      <c r="E57" s="19"/>
    </row>
    <row r="58" spans="1:5" ht="16.5" thickBot="1" x14ac:dyDescent="0.3">
      <c r="A58" s="18" t="s">
        <v>673</v>
      </c>
      <c r="B58" s="11">
        <v>2500</v>
      </c>
      <c r="C58" s="337">
        <v>1500</v>
      </c>
      <c r="D58" s="25"/>
      <c r="E58" s="19"/>
    </row>
    <row r="59" spans="1:5" ht="16.5" thickBot="1" x14ac:dyDescent="0.3">
      <c r="A59" s="30" t="s">
        <v>28</v>
      </c>
      <c r="B59" s="14"/>
      <c r="C59" s="197">
        <f>SUM(C57:C58)</f>
        <v>82000</v>
      </c>
      <c r="D59" s="25"/>
      <c r="E59" s="19"/>
    </row>
    <row r="60" spans="1:5" ht="15.75" x14ac:dyDescent="0.25">
      <c r="A60" s="32"/>
      <c r="B60" s="26"/>
      <c r="C60" s="25"/>
      <c r="D60" s="25"/>
      <c r="E60" s="19"/>
    </row>
    <row r="61" spans="1:5" ht="15.75" x14ac:dyDescent="0.25">
      <c r="A61" s="32"/>
      <c r="B61" s="26"/>
      <c r="C61" s="25"/>
      <c r="D61" s="25"/>
      <c r="E61" s="19"/>
    </row>
    <row r="62" spans="1:5" ht="19.5" thickBot="1" x14ac:dyDescent="0.35">
      <c r="A62" s="910" t="s">
        <v>675</v>
      </c>
      <c r="B62" s="910"/>
      <c r="C62" s="910"/>
      <c r="D62" s="25"/>
      <c r="E62" s="19"/>
    </row>
    <row r="63" spans="1:5" ht="48" thickBot="1" x14ac:dyDescent="0.3">
      <c r="A63" s="703" t="s">
        <v>34</v>
      </c>
      <c r="B63" s="230" t="s">
        <v>7</v>
      </c>
      <c r="C63" s="231" t="s">
        <v>725</v>
      </c>
      <c r="D63" s="25"/>
      <c r="E63" s="19"/>
    </row>
    <row r="64" spans="1:5" ht="15.75" x14ac:dyDescent="0.25">
      <c r="A64" s="29" t="s">
        <v>792</v>
      </c>
      <c r="B64" s="11">
        <v>2200</v>
      </c>
      <c r="C64" s="337">
        <v>7000</v>
      </c>
      <c r="D64" s="25"/>
      <c r="E64" s="19"/>
    </row>
    <row r="65" spans="1:7" ht="16.5" thickBot="1" x14ac:dyDescent="0.3">
      <c r="A65" s="18" t="s">
        <v>676</v>
      </c>
      <c r="B65" s="11">
        <v>2500</v>
      </c>
      <c r="C65" s="337">
        <v>500</v>
      </c>
      <c r="D65" s="25"/>
      <c r="E65" s="19"/>
    </row>
    <row r="66" spans="1:7" ht="16.5" thickBot="1" x14ac:dyDescent="0.3">
      <c r="A66" s="30" t="s">
        <v>28</v>
      </c>
      <c r="B66" s="14"/>
      <c r="C66" s="197">
        <f>SUM(C64:C65)</f>
        <v>7500</v>
      </c>
      <c r="D66" s="25"/>
      <c r="E66" s="19"/>
    </row>
    <row r="67" spans="1:7" ht="15.75" x14ac:dyDescent="0.25">
      <c r="A67" s="32"/>
      <c r="B67" s="26"/>
      <c r="C67" s="25"/>
      <c r="D67" s="25"/>
      <c r="E67" s="19"/>
    </row>
    <row r="68" spans="1:7" ht="15.75" x14ac:dyDescent="0.25">
      <c r="A68" s="32"/>
      <c r="B68" s="26"/>
      <c r="C68" s="25"/>
      <c r="D68" s="25"/>
      <c r="E68" s="19"/>
    </row>
    <row r="70" spans="1:7" ht="19.5" thickBot="1" x14ac:dyDescent="0.35">
      <c r="A70" s="204" t="s">
        <v>849</v>
      </c>
      <c r="B70" s="173"/>
      <c r="C70" s="1"/>
      <c r="D70" s="1"/>
      <c r="E70" s="1"/>
    </row>
    <row r="71" spans="1:7" ht="48" thickBot="1" x14ac:dyDescent="0.3">
      <c r="A71" s="232" t="s">
        <v>34</v>
      </c>
      <c r="B71" s="233" t="s">
        <v>7</v>
      </c>
      <c r="C71" s="231" t="s">
        <v>725</v>
      </c>
      <c r="D71" s="475"/>
      <c r="E71" s="368"/>
    </row>
    <row r="72" spans="1:7" ht="15" x14ac:dyDescent="0.25">
      <c r="A72" s="298" t="s">
        <v>601</v>
      </c>
      <c r="B72" s="12">
        <v>2200</v>
      </c>
      <c r="C72" s="15">
        <v>5000</v>
      </c>
      <c r="D72" s="476"/>
      <c r="E72" s="154"/>
      <c r="G72" s="27"/>
    </row>
    <row r="73" spans="1:7" ht="15.75" x14ac:dyDescent="0.25">
      <c r="A73" s="489" t="s">
        <v>604</v>
      </c>
      <c r="B73" s="12">
        <v>2200</v>
      </c>
      <c r="C73" s="15">
        <v>18053</v>
      </c>
      <c r="D73" s="476"/>
      <c r="E73" s="154"/>
      <c r="G73" s="27"/>
    </row>
    <row r="74" spans="1:7" ht="15.75" x14ac:dyDescent="0.25">
      <c r="A74" s="674" t="s">
        <v>751</v>
      </c>
      <c r="B74" s="12">
        <v>5200</v>
      </c>
      <c r="C74" s="15">
        <v>2759</v>
      </c>
      <c r="D74" s="476"/>
      <c r="E74" s="154"/>
      <c r="G74" s="27"/>
    </row>
    <row r="75" spans="1:7" ht="15.75" x14ac:dyDescent="0.25">
      <c r="A75" s="674" t="s">
        <v>753</v>
      </c>
      <c r="B75" s="12">
        <v>5200</v>
      </c>
      <c r="C75" s="15">
        <v>2420</v>
      </c>
      <c r="D75" s="476"/>
      <c r="E75" s="154"/>
    </row>
    <row r="76" spans="1:7" ht="15.75" x14ac:dyDescent="0.25">
      <c r="A76" s="674" t="s">
        <v>752</v>
      </c>
      <c r="B76" s="12">
        <v>2300</v>
      </c>
      <c r="C76" s="15">
        <v>3630</v>
      </c>
      <c r="D76" s="476"/>
      <c r="E76" s="154"/>
    </row>
    <row r="77" spans="1:7" ht="30" x14ac:dyDescent="0.25">
      <c r="A77" s="137" t="s">
        <v>771</v>
      </c>
      <c r="B77" s="12">
        <v>5200</v>
      </c>
      <c r="C77" s="879">
        <v>1500</v>
      </c>
      <c r="D77" s="19"/>
      <c r="E77" s="154"/>
    </row>
    <row r="78" spans="1:7" ht="15" x14ac:dyDescent="0.25">
      <c r="A78" s="137" t="s">
        <v>758</v>
      </c>
      <c r="B78" s="12">
        <v>2200</v>
      </c>
      <c r="C78" s="879">
        <v>2760</v>
      </c>
      <c r="D78" s="19"/>
      <c r="E78" s="154"/>
    </row>
    <row r="79" spans="1:7" ht="15.75" x14ac:dyDescent="0.25">
      <c r="A79" s="18" t="s">
        <v>769</v>
      </c>
      <c r="B79" s="12">
        <v>5200</v>
      </c>
      <c r="C79" s="879">
        <v>15000</v>
      </c>
      <c r="D79" s="476"/>
      <c r="E79" s="154"/>
    </row>
    <row r="80" spans="1:7" ht="15.75" x14ac:dyDescent="0.25">
      <c r="A80" s="18" t="s">
        <v>739</v>
      </c>
      <c r="B80" s="12">
        <v>2200</v>
      </c>
      <c r="C80" s="879">
        <v>3000</v>
      </c>
      <c r="D80" s="476"/>
      <c r="E80" s="154"/>
    </row>
    <row r="81" spans="1:5" ht="15.75" x14ac:dyDescent="0.25">
      <c r="A81" s="18" t="s">
        <v>770</v>
      </c>
      <c r="B81" s="12">
        <v>5200</v>
      </c>
      <c r="C81" s="879">
        <f>200000-64321</f>
        <v>135679</v>
      </c>
      <c r="D81" s="476"/>
      <c r="E81" s="154"/>
    </row>
    <row r="82" spans="1:5" ht="15.75" x14ac:dyDescent="0.25">
      <c r="A82" s="18" t="s">
        <v>738</v>
      </c>
      <c r="B82" s="12">
        <v>5200</v>
      </c>
      <c r="C82" s="879">
        <v>4100</v>
      </c>
      <c r="D82" s="476"/>
      <c r="E82" s="154"/>
    </row>
    <row r="83" spans="1:5" ht="15.75" x14ac:dyDescent="0.25">
      <c r="A83" s="18" t="s">
        <v>740</v>
      </c>
      <c r="B83" s="153">
        <v>5200</v>
      </c>
      <c r="C83" s="15">
        <v>18000</v>
      </c>
      <c r="D83" s="476"/>
      <c r="E83" s="154"/>
    </row>
    <row r="84" spans="1:5" ht="15" x14ac:dyDescent="0.25">
      <c r="A84" s="385" t="s">
        <v>607</v>
      </c>
      <c r="B84" s="153">
        <v>5200</v>
      </c>
      <c r="C84" s="433">
        <v>30000</v>
      </c>
      <c r="D84" s="476"/>
      <c r="E84" s="8"/>
    </row>
    <row r="85" spans="1:5" ht="15" x14ac:dyDescent="0.25">
      <c r="A85" s="385" t="s">
        <v>735</v>
      </c>
      <c r="B85" s="153">
        <v>5200</v>
      </c>
      <c r="C85" s="433">
        <v>18000</v>
      </c>
      <c r="D85" s="476"/>
      <c r="E85" s="154"/>
    </row>
    <row r="86" spans="1:5" ht="30" x14ac:dyDescent="0.25">
      <c r="A86" s="385" t="s">
        <v>602</v>
      </c>
      <c r="B86" s="153">
        <v>5200</v>
      </c>
      <c r="C86" s="433">
        <v>718</v>
      </c>
      <c r="D86" s="476"/>
      <c r="E86" s="154"/>
    </row>
    <row r="87" spans="1:5" ht="15" x14ac:dyDescent="0.25">
      <c r="A87" s="385" t="s">
        <v>761</v>
      </c>
      <c r="B87" s="153">
        <v>2200</v>
      </c>
      <c r="C87" s="433">
        <v>12000</v>
      </c>
      <c r="D87" s="476"/>
      <c r="E87" s="8"/>
    </row>
    <row r="88" spans="1:5" ht="15" x14ac:dyDescent="0.25">
      <c r="A88" s="385" t="s">
        <v>762</v>
      </c>
      <c r="B88" s="153">
        <v>2200</v>
      </c>
      <c r="C88" s="433">
        <v>9000</v>
      </c>
      <c r="D88" s="476"/>
      <c r="E88" s="8"/>
    </row>
    <row r="89" spans="1:5" ht="15" x14ac:dyDescent="0.25">
      <c r="A89" s="385" t="s">
        <v>763</v>
      </c>
      <c r="B89" s="153">
        <v>2200</v>
      </c>
      <c r="C89" s="433">
        <v>15000</v>
      </c>
      <c r="D89" s="476"/>
      <c r="E89" s="831"/>
    </row>
    <row r="90" spans="1:5" ht="30" x14ac:dyDescent="0.25">
      <c r="A90" s="385" t="s">
        <v>608</v>
      </c>
      <c r="B90" s="153">
        <v>5200</v>
      </c>
      <c r="C90" s="433">
        <v>310</v>
      </c>
      <c r="D90" s="476"/>
      <c r="E90" s="8"/>
    </row>
    <row r="91" spans="1:5" ht="15" x14ac:dyDescent="0.25">
      <c r="A91" s="385" t="s">
        <v>851</v>
      </c>
      <c r="B91" s="153">
        <v>5200</v>
      </c>
      <c r="C91" s="433">
        <v>57400</v>
      </c>
      <c r="D91" s="476"/>
      <c r="E91" s="8"/>
    </row>
    <row r="92" spans="1:5" ht="30" x14ac:dyDescent="0.25">
      <c r="A92" s="494" t="s">
        <v>736</v>
      </c>
      <c r="B92" s="153">
        <v>2200</v>
      </c>
      <c r="C92" s="433">
        <f>378+700</f>
        <v>1078</v>
      </c>
      <c r="D92" s="476"/>
      <c r="E92" s="154"/>
    </row>
    <row r="93" spans="1:5" ht="15" x14ac:dyDescent="0.25">
      <c r="A93" s="494" t="s">
        <v>737</v>
      </c>
      <c r="B93" s="153">
        <v>2200</v>
      </c>
      <c r="C93" s="433">
        <v>8000</v>
      </c>
      <c r="D93" s="476"/>
      <c r="E93" s="154"/>
    </row>
    <row r="94" spans="1:5" ht="30" x14ac:dyDescent="0.25">
      <c r="A94" s="137" t="s">
        <v>204</v>
      </c>
      <c r="B94" s="12">
        <v>2200</v>
      </c>
      <c r="C94" s="15">
        <f>180000+71263-10000-2642-100000</f>
        <v>138621</v>
      </c>
      <c r="D94" s="476"/>
      <c r="E94" s="154"/>
    </row>
    <row r="95" spans="1:5" ht="15.75" thickBot="1" x14ac:dyDescent="0.3">
      <c r="A95" s="174" t="s">
        <v>606</v>
      </c>
      <c r="B95" s="12">
        <v>2200</v>
      </c>
      <c r="C95" s="693">
        <v>15000</v>
      </c>
      <c r="D95" s="476"/>
      <c r="E95" s="154"/>
    </row>
    <row r="96" spans="1:5" ht="15" thickBot="1" x14ac:dyDescent="0.25">
      <c r="A96" s="140" t="s">
        <v>29</v>
      </c>
      <c r="B96" s="141"/>
      <c r="C96" s="142">
        <f>SUM(C72:C95)</f>
        <v>517028</v>
      </c>
      <c r="D96" s="469"/>
      <c r="E96" s="8"/>
    </row>
    <row r="97" spans="1:5" ht="15.75" x14ac:dyDescent="0.25">
      <c r="A97" s="32"/>
      <c r="B97" s="26"/>
      <c r="C97" s="25"/>
      <c r="D97" s="195"/>
      <c r="E97" s="25"/>
    </row>
    <row r="98" spans="1:5" ht="15" x14ac:dyDescent="0.25">
      <c r="A98" s="5" t="s">
        <v>941</v>
      </c>
    </row>
  </sheetData>
  <mergeCells count="6">
    <mergeCell ref="A62:C62"/>
    <mergeCell ref="A2:C2"/>
    <mergeCell ref="A18:C18"/>
    <mergeCell ref="A47:C47"/>
    <mergeCell ref="A55:C55"/>
    <mergeCell ref="A35:C35"/>
  </mergeCells>
  <phoneticPr fontId="0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opLeftCell="B1" zoomScale="87" zoomScaleNormal="87" workbookViewId="0">
      <pane xSplit="2" ySplit="7" topLeftCell="D8" activePane="bottomRight" state="frozen"/>
      <selection activeCell="B1" sqref="B1"/>
      <selection pane="topRight" activeCell="D1" sqref="D1"/>
      <selection pane="bottomLeft" activeCell="B8" sqref="B8"/>
      <selection pane="bottomRight" activeCell="U1" sqref="U1"/>
    </sheetView>
  </sheetViews>
  <sheetFormatPr defaultColWidth="9.140625" defaultRowHeight="15" x14ac:dyDescent="0.25"/>
  <cols>
    <col min="1" max="1" width="6" style="1" hidden="1" customWidth="1"/>
    <col min="2" max="2" width="7.85546875" style="1" customWidth="1"/>
    <col min="3" max="3" width="50.85546875" style="1" customWidth="1"/>
    <col min="4" max="4" width="9.42578125" style="1" customWidth="1"/>
    <col min="5" max="5" width="10.140625" style="1" customWidth="1"/>
    <col min="6" max="6" width="9.5703125" style="1" customWidth="1"/>
    <col min="7" max="9" width="8.85546875" style="1" customWidth="1"/>
    <col min="10" max="10" width="9.42578125" style="1" customWidth="1"/>
    <col min="11" max="12" width="10.85546875" style="1" customWidth="1"/>
    <col min="13" max="13" width="8.85546875" style="1" customWidth="1"/>
    <col min="14" max="15" width="9.140625" style="1" customWidth="1"/>
    <col min="16" max="16" width="9.140625" style="1"/>
    <col min="17" max="17" width="10.140625" style="1" customWidth="1"/>
    <col min="18" max="18" width="9.5703125" style="1" customWidth="1"/>
    <col min="19" max="16384" width="9.140625" style="1"/>
  </cols>
  <sheetData>
    <row r="1" spans="1:21" x14ac:dyDescent="0.25">
      <c r="C1" s="2" t="s">
        <v>0</v>
      </c>
      <c r="U1" s="2" t="s">
        <v>203</v>
      </c>
    </row>
    <row r="3" spans="1:21" x14ac:dyDescent="0.25">
      <c r="A3" s="3"/>
      <c r="B3" s="3" t="s">
        <v>327</v>
      </c>
    </row>
    <row r="4" spans="1:21" x14ac:dyDescent="0.25">
      <c r="C4" s="3" t="s">
        <v>714</v>
      </c>
      <c r="I4" s="33"/>
      <c r="L4" s="33"/>
    </row>
    <row r="5" spans="1:21" x14ac:dyDescent="0.25">
      <c r="A5" s="3"/>
      <c r="B5" s="71" t="s">
        <v>91</v>
      </c>
      <c r="C5" s="72"/>
      <c r="D5" s="33" t="s">
        <v>309</v>
      </c>
      <c r="E5" s="33" t="s">
        <v>310</v>
      </c>
      <c r="F5" s="33" t="s">
        <v>311</v>
      </c>
      <c r="G5" s="33" t="s">
        <v>312</v>
      </c>
      <c r="H5" s="33" t="s">
        <v>313</v>
      </c>
      <c r="I5" s="33" t="s">
        <v>741</v>
      </c>
      <c r="J5" s="33" t="s">
        <v>314</v>
      </c>
      <c r="K5" s="33" t="s">
        <v>315</v>
      </c>
      <c r="L5" s="33" t="s">
        <v>742</v>
      </c>
      <c r="M5" s="33" t="s">
        <v>316</v>
      </c>
      <c r="N5" s="6" t="s">
        <v>448</v>
      </c>
      <c r="O5" s="6" t="s">
        <v>449</v>
      </c>
      <c r="P5" s="6" t="s">
        <v>450</v>
      </c>
      <c r="Q5" s="6" t="s">
        <v>451</v>
      </c>
      <c r="R5" s="6" t="s">
        <v>452</v>
      </c>
      <c r="S5" s="6" t="s">
        <v>453</v>
      </c>
      <c r="T5" s="6" t="s">
        <v>454</v>
      </c>
      <c r="U5" s="6" t="s">
        <v>455</v>
      </c>
    </row>
    <row r="6" spans="1:21" s="5" customFormat="1" ht="45.75" thickBot="1" x14ac:dyDescent="0.3">
      <c r="C6" s="73"/>
      <c r="D6" s="5" t="s">
        <v>305</v>
      </c>
      <c r="E6" s="5" t="s">
        <v>306</v>
      </c>
      <c r="F6" s="5" t="s">
        <v>307</v>
      </c>
      <c r="G6" s="739" t="s">
        <v>308</v>
      </c>
      <c r="H6" s="739" t="s">
        <v>317</v>
      </c>
      <c r="I6" s="739" t="s">
        <v>303</v>
      </c>
      <c r="J6" s="739" t="s">
        <v>318</v>
      </c>
      <c r="K6" s="739" t="s">
        <v>320</v>
      </c>
      <c r="L6" s="739" t="s">
        <v>302</v>
      </c>
      <c r="M6" s="739" t="s">
        <v>319</v>
      </c>
      <c r="N6" s="5" t="s">
        <v>447</v>
      </c>
      <c r="O6" s="5" t="s">
        <v>456</v>
      </c>
      <c r="P6" s="5" t="s">
        <v>457</v>
      </c>
      <c r="Q6" s="5" t="s">
        <v>458</v>
      </c>
      <c r="R6" s="5" t="s">
        <v>459</v>
      </c>
      <c r="S6" s="5" t="s">
        <v>460</v>
      </c>
      <c r="T6" s="5" t="s">
        <v>461</v>
      </c>
      <c r="U6" s="5" t="s">
        <v>462</v>
      </c>
    </row>
    <row r="7" spans="1:21" ht="39.75" customHeight="1" thickBot="1" x14ac:dyDescent="0.35">
      <c r="A7" s="74"/>
      <c r="B7" s="70" t="s">
        <v>7</v>
      </c>
      <c r="C7" s="75" t="s">
        <v>10</v>
      </c>
      <c r="D7" s="36" t="s">
        <v>152</v>
      </c>
      <c r="E7" s="36" t="s">
        <v>152</v>
      </c>
      <c r="F7" s="36" t="s">
        <v>152</v>
      </c>
      <c r="G7" s="36" t="s">
        <v>152</v>
      </c>
      <c r="H7" s="36" t="s">
        <v>152</v>
      </c>
      <c r="I7" s="36" t="s">
        <v>152</v>
      </c>
      <c r="J7" s="36" t="s">
        <v>152</v>
      </c>
      <c r="K7" s="36" t="s">
        <v>152</v>
      </c>
      <c r="L7" s="36" t="s">
        <v>152</v>
      </c>
      <c r="M7" s="36" t="s">
        <v>152</v>
      </c>
      <c r="N7" s="36" t="s">
        <v>152</v>
      </c>
      <c r="O7" s="36" t="s">
        <v>152</v>
      </c>
      <c r="P7" s="36" t="s">
        <v>152</v>
      </c>
      <c r="Q7" s="36" t="s">
        <v>152</v>
      </c>
      <c r="R7" s="36" t="s">
        <v>152</v>
      </c>
      <c r="S7" s="36" t="s">
        <v>152</v>
      </c>
      <c r="T7" s="36" t="s">
        <v>152</v>
      </c>
      <c r="U7" s="36" t="s">
        <v>152</v>
      </c>
    </row>
    <row r="8" spans="1:21" x14ac:dyDescent="0.25">
      <c r="A8" s="76"/>
      <c r="B8" s="77">
        <v>1100</v>
      </c>
      <c r="C8" s="78" t="s">
        <v>11</v>
      </c>
      <c r="D8" s="125">
        <v>94152</v>
      </c>
      <c r="E8" s="124">
        <v>96000</v>
      </c>
      <c r="F8" s="124">
        <v>189215</v>
      </c>
      <c r="G8" s="291">
        <v>214599</v>
      </c>
      <c r="H8" s="291">
        <v>78801</v>
      </c>
      <c r="I8" s="291">
        <v>23649</v>
      </c>
      <c r="J8" s="491">
        <v>42830</v>
      </c>
      <c r="K8" s="491">
        <v>233243</v>
      </c>
      <c r="L8" s="491">
        <v>51085</v>
      </c>
      <c r="M8" s="291">
        <v>273722</v>
      </c>
      <c r="N8" s="477">
        <v>110603</v>
      </c>
      <c r="O8" s="79">
        <v>61793</v>
      </c>
      <c r="P8" s="478">
        <v>115854</v>
      </c>
      <c r="Q8" s="479">
        <f>128608+44218</f>
        <v>172826</v>
      </c>
      <c r="R8" s="480">
        <v>116457</v>
      </c>
      <c r="S8" s="79">
        <v>115374</v>
      </c>
      <c r="T8" s="478">
        <v>114248</v>
      </c>
      <c r="U8" s="79">
        <v>93142</v>
      </c>
    </row>
    <row r="9" spans="1:21" ht="26.25" customHeight="1" x14ac:dyDescent="0.25">
      <c r="A9" s="81"/>
      <c r="B9" s="82">
        <v>1200</v>
      </c>
      <c r="C9" s="83" t="s">
        <v>12</v>
      </c>
      <c r="D9" s="44">
        <v>28385</v>
      </c>
      <c r="E9" s="84">
        <v>29838</v>
      </c>
      <c r="F9" s="84">
        <v>55719</v>
      </c>
      <c r="G9" s="84">
        <v>65128</v>
      </c>
      <c r="H9" s="84">
        <v>25716</v>
      </c>
      <c r="I9" s="84">
        <v>9537</v>
      </c>
      <c r="J9" s="492">
        <v>13374</v>
      </c>
      <c r="K9" s="492">
        <v>68931</v>
      </c>
      <c r="L9" s="492">
        <v>16912</v>
      </c>
      <c r="M9" s="84">
        <v>83662</v>
      </c>
      <c r="N9" s="86">
        <v>34361</v>
      </c>
      <c r="O9" s="65">
        <v>18553</v>
      </c>
      <c r="P9" s="85">
        <v>35463</v>
      </c>
      <c r="Q9" s="481">
        <f>38990+13004</f>
        <v>51994</v>
      </c>
      <c r="R9" s="482">
        <v>36237</v>
      </c>
      <c r="S9" s="65">
        <v>34712</v>
      </c>
      <c r="T9" s="85">
        <v>34102</v>
      </c>
      <c r="U9" s="65">
        <v>27492</v>
      </c>
    </row>
    <row r="10" spans="1:21" x14ac:dyDescent="0.25">
      <c r="A10" s="81"/>
      <c r="B10" s="82">
        <v>2000</v>
      </c>
      <c r="C10" s="50" t="s">
        <v>13</v>
      </c>
      <c r="D10" s="65">
        <f>SUM(D11:D15)</f>
        <v>118580</v>
      </c>
      <c r="E10" s="90">
        <f t="shared" ref="E10:U10" si="0">SUM(E11:E15)</f>
        <v>48416</v>
      </c>
      <c r="F10" s="90">
        <f>SUM(F11:F15)</f>
        <v>227844</v>
      </c>
      <c r="G10" s="90">
        <f t="shared" si="0"/>
        <v>437474</v>
      </c>
      <c r="H10" s="90">
        <f t="shared" si="0"/>
        <v>54619</v>
      </c>
      <c r="I10" s="90">
        <f t="shared" si="0"/>
        <v>12300</v>
      </c>
      <c r="J10" s="90">
        <f t="shared" si="0"/>
        <v>105149</v>
      </c>
      <c r="K10" s="90">
        <f t="shared" si="0"/>
        <v>211333</v>
      </c>
      <c r="L10" s="90">
        <f t="shared" si="0"/>
        <v>23623</v>
      </c>
      <c r="M10" s="90">
        <f t="shared" si="0"/>
        <v>299220</v>
      </c>
      <c r="N10" s="86">
        <f t="shared" si="0"/>
        <v>79088</v>
      </c>
      <c r="O10" s="65">
        <f t="shared" si="0"/>
        <v>190367</v>
      </c>
      <c r="P10" s="85">
        <f t="shared" si="0"/>
        <v>171441</v>
      </c>
      <c r="Q10" s="65">
        <f t="shared" si="0"/>
        <v>463415</v>
      </c>
      <c r="R10" s="85">
        <f t="shared" si="0"/>
        <v>56974</v>
      </c>
      <c r="S10" s="65">
        <f t="shared" si="0"/>
        <v>61914</v>
      </c>
      <c r="T10" s="85">
        <f t="shared" si="0"/>
        <v>67574</v>
      </c>
      <c r="U10" s="65">
        <f t="shared" si="0"/>
        <v>109030</v>
      </c>
    </row>
    <row r="11" spans="1:21" x14ac:dyDescent="0.25">
      <c r="A11" s="81"/>
      <c r="B11" s="82">
        <v>2100</v>
      </c>
      <c r="C11" s="50" t="s">
        <v>14</v>
      </c>
      <c r="D11" s="65"/>
      <c r="E11" s="90"/>
      <c r="F11" s="90"/>
      <c r="G11" s="90"/>
      <c r="H11" s="90"/>
      <c r="I11" s="90"/>
      <c r="J11" s="90"/>
      <c r="K11" s="90">
        <v>550</v>
      </c>
      <c r="L11" s="90"/>
      <c r="M11" s="90"/>
      <c r="N11" s="86"/>
      <c r="O11" s="65"/>
      <c r="P11" s="85"/>
      <c r="Q11" s="483"/>
      <c r="R11" s="484"/>
      <c r="S11" s="65"/>
      <c r="T11" s="85"/>
      <c r="U11" s="65"/>
    </row>
    <row r="12" spans="1:21" x14ac:dyDescent="0.25">
      <c r="A12" s="81"/>
      <c r="B12" s="82">
        <v>2200</v>
      </c>
      <c r="C12" s="50" t="s">
        <v>15</v>
      </c>
      <c r="D12" s="65">
        <f>98015-2995</f>
        <v>95020</v>
      </c>
      <c r="E12" s="90">
        <f>31689-1312</f>
        <v>30377</v>
      </c>
      <c r="F12" s="90">
        <v>166191</v>
      </c>
      <c r="G12" s="90">
        <v>380764</v>
      </c>
      <c r="H12" s="90">
        <f>24829+12788</f>
        <v>37617</v>
      </c>
      <c r="I12" s="90">
        <f>7422-300</f>
        <v>7122</v>
      </c>
      <c r="J12" s="90">
        <v>73034</v>
      </c>
      <c r="K12" s="90">
        <f>165383+5000</f>
        <v>170383</v>
      </c>
      <c r="L12" s="90">
        <f>19348-100</f>
        <v>19248</v>
      </c>
      <c r="M12" s="90">
        <v>249120</v>
      </c>
      <c r="N12" s="86">
        <f>61750-6500</f>
        <v>55250</v>
      </c>
      <c r="O12" s="65">
        <f>166592+85</f>
        <v>166677</v>
      </c>
      <c r="P12" s="85">
        <v>150852</v>
      </c>
      <c r="Q12" s="485">
        <f>379645+31369-12300</f>
        <v>398714</v>
      </c>
      <c r="R12" s="486">
        <v>32160</v>
      </c>
      <c r="S12" s="65">
        <v>34574</v>
      </c>
      <c r="T12" s="85">
        <v>40212</v>
      </c>
      <c r="U12" s="65">
        <v>86630</v>
      </c>
    </row>
    <row r="13" spans="1:21" ht="30" x14ac:dyDescent="0.25">
      <c r="A13" s="81"/>
      <c r="B13" s="82">
        <v>2300</v>
      </c>
      <c r="C13" s="83" t="s">
        <v>16</v>
      </c>
      <c r="D13" s="65">
        <v>20860</v>
      </c>
      <c r="E13" s="90">
        <v>15487</v>
      </c>
      <c r="F13" s="90">
        <v>57653</v>
      </c>
      <c r="G13" s="90">
        <f>44260-2000</f>
        <v>42260</v>
      </c>
      <c r="H13" s="90">
        <v>16302</v>
      </c>
      <c r="I13" s="90">
        <v>4878</v>
      </c>
      <c r="J13" s="90">
        <v>31445</v>
      </c>
      <c r="K13" s="90">
        <f>43150-6750</f>
        <v>36400</v>
      </c>
      <c r="L13" s="90">
        <f>1675+100</f>
        <v>1775</v>
      </c>
      <c r="M13" s="90">
        <v>35000</v>
      </c>
      <c r="N13" s="86">
        <v>21372</v>
      </c>
      <c r="O13" s="65">
        <f>14475-85</f>
        <v>14390</v>
      </c>
      <c r="P13" s="85">
        <f>12329-490</f>
        <v>11839</v>
      </c>
      <c r="Q13" s="485">
        <f>32751+16500</f>
        <v>49251</v>
      </c>
      <c r="R13" s="486">
        <v>22114</v>
      </c>
      <c r="S13" s="65">
        <v>23140</v>
      </c>
      <c r="T13" s="85">
        <v>25242</v>
      </c>
      <c r="U13" s="65">
        <v>17400</v>
      </c>
    </row>
    <row r="14" spans="1:21" x14ac:dyDescent="0.25">
      <c r="A14" s="89"/>
      <c r="B14" s="42">
        <v>2400</v>
      </c>
      <c r="C14" s="50" t="s">
        <v>47</v>
      </c>
      <c r="D14" s="65"/>
      <c r="E14" s="90"/>
      <c r="F14" s="90"/>
      <c r="G14" s="90"/>
      <c r="H14" s="90"/>
      <c r="I14" s="90"/>
      <c r="J14" s="90"/>
      <c r="K14" s="90"/>
      <c r="L14" s="90"/>
      <c r="M14" s="90"/>
      <c r="N14" s="86"/>
      <c r="O14" s="65"/>
      <c r="P14" s="85"/>
      <c r="Q14" s="485"/>
      <c r="R14" s="487"/>
      <c r="S14" s="65"/>
      <c r="T14" s="85"/>
      <c r="U14" s="65"/>
    </row>
    <row r="15" spans="1:21" x14ac:dyDescent="0.25">
      <c r="A15" s="81"/>
      <c r="B15" s="82">
        <v>2500</v>
      </c>
      <c r="C15" s="50" t="s">
        <v>17</v>
      </c>
      <c r="D15" s="65">
        <v>2700</v>
      </c>
      <c r="E15" s="90">
        <v>2552</v>
      </c>
      <c r="F15" s="90">
        <v>4000</v>
      </c>
      <c r="G15" s="90">
        <v>14450</v>
      </c>
      <c r="H15" s="90">
        <v>700</v>
      </c>
      <c r="I15" s="90">
        <f>300</f>
        <v>300</v>
      </c>
      <c r="J15" s="90">
        <v>670</v>
      </c>
      <c r="K15" s="90">
        <v>4000</v>
      </c>
      <c r="L15" s="90">
        <v>2600</v>
      </c>
      <c r="M15" s="90">
        <v>15100</v>
      </c>
      <c r="N15" s="86">
        <v>2466</v>
      </c>
      <c r="O15" s="65">
        <v>9300</v>
      </c>
      <c r="P15" s="85">
        <v>8750</v>
      </c>
      <c r="Q15" s="485">
        <f>14850+600</f>
        <v>15450</v>
      </c>
      <c r="R15" s="486">
        <v>2700</v>
      </c>
      <c r="S15" s="65">
        <v>4200</v>
      </c>
      <c r="T15" s="85">
        <v>2120</v>
      </c>
      <c r="U15" s="65">
        <v>5000</v>
      </c>
    </row>
    <row r="16" spans="1:21" x14ac:dyDescent="0.25">
      <c r="A16" s="81"/>
      <c r="B16" s="82">
        <v>3200</v>
      </c>
      <c r="C16" s="181" t="s">
        <v>135</v>
      </c>
      <c r="D16" s="65"/>
      <c r="E16" s="90"/>
      <c r="F16" s="90"/>
      <c r="G16" s="90"/>
      <c r="H16" s="90"/>
      <c r="I16" s="90"/>
      <c r="J16" s="90"/>
      <c r="K16" s="90"/>
      <c r="L16" s="90"/>
      <c r="M16" s="90"/>
      <c r="N16" s="86"/>
      <c r="O16" s="65"/>
      <c r="P16" s="85"/>
      <c r="Q16" s="65"/>
      <c r="R16" s="85"/>
      <c r="S16" s="65"/>
      <c r="T16" s="85"/>
      <c r="U16" s="65"/>
    </row>
    <row r="17" spans="1:21" x14ac:dyDescent="0.25">
      <c r="A17" s="81"/>
      <c r="B17" s="82">
        <v>4200</v>
      </c>
      <c r="C17" s="50" t="s">
        <v>19</v>
      </c>
      <c r="D17" s="65"/>
      <c r="E17" s="90"/>
      <c r="F17" s="90"/>
      <c r="G17" s="90"/>
      <c r="H17" s="90"/>
      <c r="I17" s="90"/>
      <c r="J17" s="90"/>
      <c r="K17" s="90"/>
      <c r="L17" s="90"/>
      <c r="M17" s="90"/>
      <c r="N17" s="86"/>
      <c r="O17" s="65"/>
      <c r="P17" s="85"/>
      <c r="Q17" s="65"/>
      <c r="R17" s="85"/>
      <c r="S17" s="65"/>
      <c r="T17" s="85"/>
      <c r="U17" s="65"/>
    </row>
    <row r="18" spans="1:21" x14ac:dyDescent="0.25">
      <c r="A18" s="81"/>
      <c r="B18" s="82">
        <v>4300</v>
      </c>
      <c r="C18" s="50" t="s">
        <v>20</v>
      </c>
      <c r="D18" s="65"/>
      <c r="E18" s="90"/>
      <c r="F18" s="90"/>
      <c r="G18" s="90"/>
      <c r="H18" s="90"/>
      <c r="I18" s="90"/>
      <c r="J18" s="90"/>
      <c r="K18" s="90"/>
      <c r="L18" s="90"/>
      <c r="M18" s="90"/>
      <c r="N18" s="86"/>
      <c r="O18" s="65"/>
      <c r="P18" s="85"/>
      <c r="Q18" s="65"/>
      <c r="R18" s="85"/>
      <c r="S18" s="65"/>
      <c r="T18" s="85"/>
      <c r="U18" s="65"/>
    </row>
    <row r="19" spans="1:21" x14ac:dyDescent="0.25">
      <c r="A19" s="81"/>
      <c r="B19" s="82">
        <v>5100</v>
      </c>
      <c r="C19" s="50" t="s">
        <v>22</v>
      </c>
      <c r="D19" s="65"/>
      <c r="E19" s="90"/>
      <c r="F19" s="90"/>
      <c r="G19" s="90">
        <v>600</v>
      </c>
      <c r="H19" s="90"/>
      <c r="I19" s="90"/>
      <c r="J19" s="90"/>
      <c r="K19" s="90">
        <f>250</f>
        <v>250</v>
      </c>
      <c r="L19" s="90"/>
      <c r="M19" s="90"/>
      <c r="N19" s="86"/>
      <c r="O19" s="65"/>
      <c r="P19" s="85"/>
      <c r="Q19" s="65"/>
      <c r="R19" s="85"/>
      <c r="S19" s="65"/>
      <c r="T19" s="85"/>
      <c r="U19" s="65">
        <v>600</v>
      </c>
    </row>
    <row r="20" spans="1:21" x14ac:dyDescent="0.25">
      <c r="A20" s="81"/>
      <c r="B20" s="82">
        <v>5200</v>
      </c>
      <c r="C20" s="50" t="s">
        <v>23</v>
      </c>
      <c r="D20" s="65">
        <f>9500+2995</f>
        <v>12495</v>
      </c>
      <c r="E20" s="90">
        <f>17000+1312</f>
        <v>18312</v>
      </c>
      <c r="F20" s="90">
        <v>11815</v>
      </c>
      <c r="G20" s="90">
        <f>13000+5800</f>
        <v>18800</v>
      </c>
      <c r="H20" s="90">
        <v>33921</v>
      </c>
      <c r="I20" s="90"/>
      <c r="J20" s="90">
        <v>4800</v>
      </c>
      <c r="K20" s="90">
        <f>30500+1500</f>
        <v>32000</v>
      </c>
      <c r="L20" s="90"/>
      <c r="M20" s="90">
        <v>53200</v>
      </c>
      <c r="N20" s="86">
        <v>6500</v>
      </c>
      <c r="O20" s="65"/>
      <c r="P20" s="85">
        <f>17750+490</f>
        <v>18240</v>
      </c>
      <c r="Q20" s="65">
        <v>18400</v>
      </c>
      <c r="R20" s="85">
        <v>7339</v>
      </c>
      <c r="S20" s="65">
        <v>2047</v>
      </c>
      <c r="T20" s="85">
        <v>1000</v>
      </c>
      <c r="U20" s="65">
        <v>1400</v>
      </c>
    </row>
    <row r="21" spans="1:21" x14ac:dyDescent="0.25">
      <c r="A21" s="81"/>
      <c r="B21" s="82">
        <v>6000</v>
      </c>
      <c r="C21" s="43" t="s">
        <v>44</v>
      </c>
      <c r="D21" s="88"/>
      <c r="E21" s="90" t="s">
        <v>169</v>
      </c>
      <c r="F21" s="87"/>
      <c r="G21" s="87"/>
      <c r="H21" s="87"/>
      <c r="I21" s="87"/>
      <c r="J21" s="87"/>
      <c r="K21" s="87"/>
      <c r="L21" s="87"/>
      <c r="M21" s="87"/>
      <c r="N21" s="112"/>
      <c r="O21" s="113"/>
      <c r="P21" s="327"/>
      <c r="Q21" s="113"/>
      <c r="R21" s="327"/>
      <c r="S21" s="113"/>
      <c r="T21" s="327"/>
      <c r="U21" s="113"/>
    </row>
    <row r="22" spans="1:21" s="3" customFormat="1" x14ac:dyDescent="0.25">
      <c r="A22" s="81"/>
      <c r="B22" s="82">
        <v>6200</v>
      </c>
      <c r="C22" s="50" t="s">
        <v>24</v>
      </c>
      <c r="D22" s="125"/>
      <c r="E22" s="124"/>
      <c r="F22" s="124"/>
      <c r="G22" s="124"/>
      <c r="H22" s="124"/>
      <c r="I22" s="124"/>
      <c r="J22" s="124"/>
      <c r="K22" s="124"/>
      <c r="L22" s="124"/>
      <c r="M22" s="124"/>
      <c r="N22" s="86"/>
      <c r="O22" s="65"/>
      <c r="P22" s="85"/>
      <c r="Q22" s="65"/>
      <c r="R22" s="85"/>
      <c r="S22" s="65"/>
      <c r="T22" s="85"/>
      <c r="U22" s="65"/>
    </row>
    <row r="23" spans="1:21" x14ac:dyDescent="0.25">
      <c r="A23" s="81"/>
      <c r="B23" s="82">
        <v>6300</v>
      </c>
      <c r="C23" s="43" t="s">
        <v>45</v>
      </c>
      <c r="D23" s="88"/>
      <c r="E23" s="90"/>
      <c r="F23" s="87"/>
      <c r="G23" s="87"/>
      <c r="H23" s="87"/>
      <c r="I23" s="87"/>
      <c r="J23" s="87"/>
      <c r="K23" s="87"/>
      <c r="L23" s="87"/>
      <c r="M23" s="87"/>
      <c r="N23" s="112"/>
      <c r="O23" s="113"/>
      <c r="P23" s="327"/>
      <c r="Q23" s="113"/>
      <c r="R23" s="327"/>
      <c r="S23" s="113"/>
      <c r="T23" s="327"/>
      <c r="U23" s="113"/>
    </row>
    <row r="24" spans="1:21" ht="18" customHeight="1" x14ac:dyDescent="0.25">
      <c r="A24" s="81"/>
      <c r="B24" s="82">
        <v>6400</v>
      </c>
      <c r="C24" s="43" t="s">
        <v>59</v>
      </c>
      <c r="D24" s="88"/>
      <c r="E24" s="90"/>
      <c r="F24" s="87"/>
      <c r="G24" s="87"/>
      <c r="H24" s="87"/>
      <c r="I24" s="87"/>
      <c r="J24" s="87"/>
      <c r="K24" s="87"/>
      <c r="L24" s="87"/>
      <c r="M24" s="87"/>
      <c r="N24" s="112"/>
      <c r="O24" s="113"/>
      <c r="P24" s="327"/>
      <c r="Q24" s="113"/>
      <c r="R24" s="327"/>
      <c r="S24" s="113"/>
      <c r="T24" s="327"/>
      <c r="U24" s="113"/>
    </row>
    <row r="25" spans="1:21" ht="15.75" thickBot="1" x14ac:dyDescent="0.3">
      <c r="A25" s="81"/>
      <c r="B25" s="82">
        <v>7200</v>
      </c>
      <c r="C25" s="50" t="s">
        <v>25</v>
      </c>
      <c r="D25" s="199"/>
      <c r="E25" s="124"/>
      <c r="F25" s="291"/>
      <c r="G25" s="291"/>
      <c r="H25" s="291"/>
      <c r="I25" s="291"/>
      <c r="J25" s="291"/>
      <c r="K25" s="291"/>
      <c r="L25" s="291"/>
      <c r="M25" s="291"/>
      <c r="N25" s="407"/>
      <c r="O25" s="401"/>
      <c r="P25" s="408"/>
      <c r="Q25" s="401"/>
      <c r="R25" s="408"/>
      <c r="S25" s="401"/>
      <c r="T25" s="408"/>
      <c r="U25" s="401"/>
    </row>
    <row r="26" spans="1:21" ht="16.5" thickBot="1" x14ac:dyDescent="0.3">
      <c r="A26" s="92"/>
      <c r="B26" s="93"/>
      <c r="C26" s="94" t="s">
        <v>26</v>
      </c>
      <c r="D26" s="95">
        <f>SUM(D8+D9+D10+D17+D18+D19+D20+D21+D25)</f>
        <v>253612</v>
      </c>
      <c r="E26" s="95">
        <f t="shared" ref="E26:M26" si="1">SUM(E8+E9+E10+E17+E18+E19+E20+E22+E24+E25)</f>
        <v>192566</v>
      </c>
      <c r="F26" s="95">
        <f>SUM(F8+F9+F10+F17+F18+F19+F20+F22+F24+F25)</f>
        <v>484593</v>
      </c>
      <c r="G26" s="95">
        <f t="shared" si="1"/>
        <v>736601</v>
      </c>
      <c r="H26" s="95">
        <f t="shared" si="1"/>
        <v>193057</v>
      </c>
      <c r="I26" s="95">
        <f t="shared" si="1"/>
        <v>45486</v>
      </c>
      <c r="J26" s="95">
        <f t="shared" si="1"/>
        <v>166153</v>
      </c>
      <c r="K26" s="95">
        <f t="shared" si="1"/>
        <v>545757</v>
      </c>
      <c r="L26" s="95">
        <f t="shared" si="1"/>
        <v>91620</v>
      </c>
      <c r="M26" s="95">
        <f t="shared" si="1"/>
        <v>709804</v>
      </c>
      <c r="N26" s="95">
        <f t="shared" ref="N26:U26" si="2">SUM(N8+N9+N10+N16+N17+N18+N19+N20+N22+N24+N25)</f>
        <v>230552</v>
      </c>
      <c r="O26" s="95">
        <f t="shared" si="2"/>
        <v>270713</v>
      </c>
      <c r="P26" s="95">
        <f t="shared" si="2"/>
        <v>340998</v>
      </c>
      <c r="Q26" s="95">
        <f t="shared" si="2"/>
        <v>706635</v>
      </c>
      <c r="R26" s="95">
        <f t="shared" si="2"/>
        <v>217007</v>
      </c>
      <c r="S26" s="95">
        <f t="shared" si="2"/>
        <v>214047</v>
      </c>
      <c r="T26" s="95">
        <f t="shared" si="2"/>
        <v>216924</v>
      </c>
      <c r="U26" s="95">
        <f t="shared" si="2"/>
        <v>231664</v>
      </c>
    </row>
    <row r="27" spans="1:21" x14ac:dyDescent="0.25">
      <c r="C27" s="60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21" ht="15.75" x14ac:dyDescent="0.25">
      <c r="C28" s="63"/>
      <c r="D28" s="900"/>
      <c r="E28" s="3"/>
      <c r="F28" s="3"/>
      <c r="G28" s="3"/>
      <c r="H28" s="3"/>
      <c r="I28" s="3"/>
      <c r="J28" s="3"/>
      <c r="K28" s="3"/>
      <c r="L28" s="3"/>
      <c r="M28" s="3"/>
    </row>
    <row r="29" spans="1:21" x14ac:dyDescent="0.25">
      <c r="C29" s="915" t="s">
        <v>945</v>
      </c>
      <c r="D29" s="915"/>
    </row>
    <row r="31" spans="1:21" x14ac:dyDescent="0.25">
      <c r="C31" s="2"/>
    </row>
  </sheetData>
  <mergeCells count="1">
    <mergeCell ref="C29:D29"/>
  </mergeCells>
  <pageMargins left="0.7" right="0.7" top="0.75" bottom="0.75" header="0.3" footer="0.3"/>
  <pageSetup paperSize="8" scale="8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zoomScale="94" zoomScaleNormal="94" workbookViewId="0">
      <selection activeCell="B6" sqref="B6"/>
    </sheetView>
  </sheetViews>
  <sheetFormatPr defaultColWidth="9.140625" defaultRowHeight="15" x14ac:dyDescent="0.25"/>
  <cols>
    <col min="1" max="1" width="8.5703125" style="1" customWidth="1"/>
    <col min="2" max="2" width="42.85546875" style="5" customWidth="1"/>
    <col min="3" max="3" width="12.140625" style="1" customWidth="1"/>
    <col min="4" max="4" width="17" style="1" customWidth="1"/>
    <col min="5" max="5" width="11.85546875" style="1" customWidth="1"/>
    <col min="6" max="213" width="9.140625" style="1"/>
    <col min="214" max="214" width="8.5703125" style="1" customWidth="1"/>
    <col min="215" max="215" width="7.140625" style="1" customWidth="1"/>
    <col min="216" max="216" width="42.140625" style="1" customWidth="1"/>
    <col min="217" max="218" width="9.140625" style="1" customWidth="1"/>
    <col min="219" max="219" width="8.85546875" style="1" customWidth="1"/>
    <col min="220" max="221" width="8.42578125" style="1" customWidth="1"/>
    <col min="222" max="222" width="8.140625" style="1" customWidth="1"/>
    <col min="223" max="223" width="11.140625" style="1" customWidth="1"/>
    <col min="224" max="224" width="8.5703125" style="1" customWidth="1"/>
    <col min="225" max="225" width="9.140625" style="1" customWidth="1"/>
    <col min="226" max="226" width="9.5703125" style="1" customWidth="1"/>
    <col min="227" max="227" width="8.85546875" style="1" customWidth="1"/>
    <col min="228" max="228" width="8.42578125" style="1" customWidth="1"/>
    <col min="229" max="469" width="9.140625" style="1"/>
    <col min="470" max="470" width="8.5703125" style="1" customWidth="1"/>
    <col min="471" max="471" width="7.140625" style="1" customWidth="1"/>
    <col min="472" max="472" width="42.140625" style="1" customWidth="1"/>
    <col min="473" max="474" width="9.140625" style="1" customWidth="1"/>
    <col min="475" max="475" width="8.85546875" style="1" customWidth="1"/>
    <col min="476" max="477" width="8.42578125" style="1" customWidth="1"/>
    <col min="478" max="478" width="8.140625" style="1" customWidth="1"/>
    <col min="479" max="479" width="11.140625" style="1" customWidth="1"/>
    <col min="480" max="480" width="8.5703125" style="1" customWidth="1"/>
    <col min="481" max="481" width="9.140625" style="1" customWidth="1"/>
    <col min="482" max="482" width="9.5703125" style="1" customWidth="1"/>
    <col min="483" max="483" width="8.85546875" style="1" customWidth="1"/>
    <col min="484" max="484" width="8.42578125" style="1" customWidth="1"/>
    <col min="485" max="725" width="9.140625" style="1"/>
    <col min="726" max="726" width="8.5703125" style="1" customWidth="1"/>
    <col min="727" max="727" width="7.140625" style="1" customWidth="1"/>
    <col min="728" max="728" width="42.140625" style="1" customWidth="1"/>
    <col min="729" max="730" width="9.140625" style="1" customWidth="1"/>
    <col min="731" max="731" width="8.85546875" style="1" customWidth="1"/>
    <col min="732" max="733" width="8.42578125" style="1" customWidth="1"/>
    <col min="734" max="734" width="8.140625" style="1" customWidth="1"/>
    <col min="735" max="735" width="11.140625" style="1" customWidth="1"/>
    <col min="736" max="736" width="8.5703125" style="1" customWidth="1"/>
    <col min="737" max="737" width="9.140625" style="1" customWidth="1"/>
    <col min="738" max="738" width="9.5703125" style="1" customWidth="1"/>
    <col min="739" max="739" width="8.85546875" style="1" customWidth="1"/>
    <col min="740" max="740" width="8.42578125" style="1" customWidth="1"/>
    <col min="741" max="981" width="9.140625" style="1"/>
    <col min="982" max="982" width="8.5703125" style="1" customWidth="1"/>
    <col min="983" max="983" width="7.140625" style="1" customWidth="1"/>
    <col min="984" max="984" width="42.140625" style="1" customWidth="1"/>
    <col min="985" max="986" width="9.140625" style="1" customWidth="1"/>
    <col min="987" max="987" width="8.85546875" style="1" customWidth="1"/>
    <col min="988" max="989" width="8.42578125" style="1" customWidth="1"/>
    <col min="990" max="990" width="8.140625" style="1" customWidth="1"/>
    <col min="991" max="991" width="11.140625" style="1" customWidth="1"/>
    <col min="992" max="992" width="8.5703125" style="1" customWidth="1"/>
    <col min="993" max="993" width="9.140625" style="1" customWidth="1"/>
    <col min="994" max="994" width="9.5703125" style="1" customWidth="1"/>
    <col min="995" max="995" width="8.85546875" style="1" customWidth="1"/>
    <col min="996" max="996" width="8.42578125" style="1" customWidth="1"/>
    <col min="997" max="1237" width="9.140625" style="1"/>
    <col min="1238" max="1238" width="8.5703125" style="1" customWidth="1"/>
    <col min="1239" max="1239" width="7.140625" style="1" customWidth="1"/>
    <col min="1240" max="1240" width="42.140625" style="1" customWidth="1"/>
    <col min="1241" max="1242" width="9.140625" style="1" customWidth="1"/>
    <col min="1243" max="1243" width="8.85546875" style="1" customWidth="1"/>
    <col min="1244" max="1245" width="8.42578125" style="1" customWidth="1"/>
    <col min="1246" max="1246" width="8.140625" style="1" customWidth="1"/>
    <col min="1247" max="1247" width="11.140625" style="1" customWidth="1"/>
    <col min="1248" max="1248" width="8.5703125" style="1" customWidth="1"/>
    <col min="1249" max="1249" width="9.140625" style="1" customWidth="1"/>
    <col min="1250" max="1250" width="9.5703125" style="1" customWidth="1"/>
    <col min="1251" max="1251" width="8.85546875" style="1" customWidth="1"/>
    <col min="1252" max="1252" width="8.42578125" style="1" customWidth="1"/>
    <col min="1253" max="1493" width="9.140625" style="1"/>
    <col min="1494" max="1494" width="8.5703125" style="1" customWidth="1"/>
    <col min="1495" max="1495" width="7.140625" style="1" customWidth="1"/>
    <col min="1496" max="1496" width="42.140625" style="1" customWidth="1"/>
    <col min="1497" max="1498" width="9.140625" style="1" customWidth="1"/>
    <col min="1499" max="1499" width="8.85546875" style="1" customWidth="1"/>
    <col min="1500" max="1501" width="8.42578125" style="1" customWidth="1"/>
    <col min="1502" max="1502" width="8.140625" style="1" customWidth="1"/>
    <col min="1503" max="1503" width="11.140625" style="1" customWidth="1"/>
    <col min="1504" max="1504" width="8.5703125" style="1" customWidth="1"/>
    <col min="1505" max="1505" width="9.140625" style="1" customWidth="1"/>
    <col min="1506" max="1506" width="9.5703125" style="1" customWidth="1"/>
    <col min="1507" max="1507" width="8.85546875" style="1" customWidth="1"/>
    <col min="1508" max="1508" width="8.42578125" style="1" customWidth="1"/>
    <col min="1509" max="1749" width="9.140625" style="1"/>
    <col min="1750" max="1750" width="8.5703125" style="1" customWidth="1"/>
    <col min="1751" max="1751" width="7.140625" style="1" customWidth="1"/>
    <col min="1752" max="1752" width="42.140625" style="1" customWidth="1"/>
    <col min="1753" max="1754" width="9.140625" style="1" customWidth="1"/>
    <col min="1755" max="1755" width="8.85546875" style="1" customWidth="1"/>
    <col min="1756" max="1757" width="8.42578125" style="1" customWidth="1"/>
    <col min="1758" max="1758" width="8.140625" style="1" customWidth="1"/>
    <col min="1759" max="1759" width="11.140625" style="1" customWidth="1"/>
    <col min="1760" max="1760" width="8.5703125" style="1" customWidth="1"/>
    <col min="1761" max="1761" width="9.140625" style="1" customWidth="1"/>
    <col min="1762" max="1762" width="9.5703125" style="1" customWidth="1"/>
    <col min="1763" max="1763" width="8.85546875" style="1" customWidth="1"/>
    <col min="1764" max="1764" width="8.42578125" style="1" customWidth="1"/>
    <col min="1765" max="2005" width="9.140625" style="1"/>
    <col min="2006" max="2006" width="8.5703125" style="1" customWidth="1"/>
    <col min="2007" max="2007" width="7.140625" style="1" customWidth="1"/>
    <col min="2008" max="2008" width="42.140625" style="1" customWidth="1"/>
    <col min="2009" max="2010" width="9.140625" style="1" customWidth="1"/>
    <col min="2011" max="2011" width="8.85546875" style="1" customWidth="1"/>
    <col min="2012" max="2013" width="8.42578125" style="1" customWidth="1"/>
    <col min="2014" max="2014" width="8.140625" style="1" customWidth="1"/>
    <col min="2015" max="2015" width="11.140625" style="1" customWidth="1"/>
    <col min="2016" max="2016" width="8.5703125" style="1" customWidth="1"/>
    <col min="2017" max="2017" width="9.140625" style="1" customWidth="1"/>
    <col min="2018" max="2018" width="9.5703125" style="1" customWidth="1"/>
    <col min="2019" max="2019" width="8.85546875" style="1" customWidth="1"/>
    <col min="2020" max="2020" width="8.42578125" style="1" customWidth="1"/>
    <col min="2021" max="2261" width="9.140625" style="1"/>
    <col min="2262" max="2262" width="8.5703125" style="1" customWidth="1"/>
    <col min="2263" max="2263" width="7.140625" style="1" customWidth="1"/>
    <col min="2264" max="2264" width="42.140625" style="1" customWidth="1"/>
    <col min="2265" max="2266" width="9.140625" style="1" customWidth="1"/>
    <col min="2267" max="2267" width="8.85546875" style="1" customWidth="1"/>
    <col min="2268" max="2269" width="8.42578125" style="1" customWidth="1"/>
    <col min="2270" max="2270" width="8.140625" style="1" customWidth="1"/>
    <col min="2271" max="2271" width="11.140625" style="1" customWidth="1"/>
    <col min="2272" max="2272" width="8.5703125" style="1" customWidth="1"/>
    <col min="2273" max="2273" width="9.140625" style="1" customWidth="1"/>
    <col min="2274" max="2274" width="9.5703125" style="1" customWidth="1"/>
    <col min="2275" max="2275" width="8.85546875" style="1" customWidth="1"/>
    <col min="2276" max="2276" width="8.42578125" style="1" customWidth="1"/>
    <col min="2277" max="2517" width="9.140625" style="1"/>
    <col min="2518" max="2518" width="8.5703125" style="1" customWidth="1"/>
    <col min="2519" max="2519" width="7.140625" style="1" customWidth="1"/>
    <col min="2520" max="2520" width="42.140625" style="1" customWidth="1"/>
    <col min="2521" max="2522" width="9.140625" style="1" customWidth="1"/>
    <col min="2523" max="2523" width="8.85546875" style="1" customWidth="1"/>
    <col min="2524" max="2525" width="8.42578125" style="1" customWidth="1"/>
    <col min="2526" max="2526" width="8.140625" style="1" customWidth="1"/>
    <col min="2527" max="2527" width="11.140625" style="1" customWidth="1"/>
    <col min="2528" max="2528" width="8.5703125" style="1" customWidth="1"/>
    <col min="2529" max="2529" width="9.140625" style="1" customWidth="1"/>
    <col min="2530" max="2530" width="9.5703125" style="1" customWidth="1"/>
    <col min="2531" max="2531" width="8.85546875" style="1" customWidth="1"/>
    <col min="2532" max="2532" width="8.42578125" style="1" customWidth="1"/>
    <col min="2533" max="2773" width="9.140625" style="1"/>
    <col min="2774" max="2774" width="8.5703125" style="1" customWidth="1"/>
    <col min="2775" max="2775" width="7.140625" style="1" customWidth="1"/>
    <col min="2776" max="2776" width="42.140625" style="1" customWidth="1"/>
    <col min="2777" max="2778" width="9.140625" style="1" customWidth="1"/>
    <col min="2779" max="2779" width="8.85546875" style="1" customWidth="1"/>
    <col min="2780" max="2781" width="8.42578125" style="1" customWidth="1"/>
    <col min="2782" max="2782" width="8.140625" style="1" customWidth="1"/>
    <col min="2783" max="2783" width="11.140625" style="1" customWidth="1"/>
    <col min="2784" max="2784" width="8.5703125" style="1" customWidth="1"/>
    <col min="2785" max="2785" width="9.140625" style="1" customWidth="1"/>
    <col min="2786" max="2786" width="9.5703125" style="1" customWidth="1"/>
    <col min="2787" max="2787" width="8.85546875" style="1" customWidth="1"/>
    <col min="2788" max="2788" width="8.42578125" style="1" customWidth="1"/>
    <col min="2789" max="3029" width="9.140625" style="1"/>
    <col min="3030" max="3030" width="8.5703125" style="1" customWidth="1"/>
    <col min="3031" max="3031" width="7.140625" style="1" customWidth="1"/>
    <col min="3032" max="3032" width="42.140625" style="1" customWidth="1"/>
    <col min="3033" max="3034" width="9.140625" style="1" customWidth="1"/>
    <col min="3035" max="3035" width="8.85546875" style="1" customWidth="1"/>
    <col min="3036" max="3037" width="8.42578125" style="1" customWidth="1"/>
    <col min="3038" max="3038" width="8.140625" style="1" customWidth="1"/>
    <col min="3039" max="3039" width="11.140625" style="1" customWidth="1"/>
    <col min="3040" max="3040" width="8.5703125" style="1" customWidth="1"/>
    <col min="3041" max="3041" width="9.140625" style="1" customWidth="1"/>
    <col min="3042" max="3042" width="9.5703125" style="1" customWidth="1"/>
    <col min="3043" max="3043" width="8.85546875" style="1" customWidth="1"/>
    <col min="3044" max="3044" width="8.42578125" style="1" customWidth="1"/>
    <col min="3045" max="3285" width="9.140625" style="1"/>
    <col min="3286" max="3286" width="8.5703125" style="1" customWidth="1"/>
    <col min="3287" max="3287" width="7.140625" style="1" customWidth="1"/>
    <col min="3288" max="3288" width="42.140625" style="1" customWidth="1"/>
    <col min="3289" max="3290" width="9.140625" style="1" customWidth="1"/>
    <col min="3291" max="3291" width="8.85546875" style="1" customWidth="1"/>
    <col min="3292" max="3293" width="8.42578125" style="1" customWidth="1"/>
    <col min="3294" max="3294" width="8.140625" style="1" customWidth="1"/>
    <col min="3295" max="3295" width="11.140625" style="1" customWidth="1"/>
    <col min="3296" max="3296" width="8.5703125" style="1" customWidth="1"/>
    <col min="3297" max="3297" width="9.140625" style="1" customWidth="1"/>
    <col min="3298" max="3298" width="9.5703125" style="1" customWidth="1"/>
    <col min="3299" max="3299" width="8.85546875" style="1" customWidth="1"/>
    <col min="3300" max="3300" width="8.42578125" style="1" customWidth="1"/>
    <col min="3301" max="3541" width="9.140625" style="1"/>
    <col min="3542" max="3542" width="8.5703125" style="1" customWidth="1"/>
    <col min="3543" max="3543" width="7.140625" style="1" customWidth="1"/>
    <col min="3544" max="3544" width="42.140625" style="1" customWidth="1"/>
    <col min="3545" max="3546" width="9.140625" style="1" customWidth="1"/>
    <col min="3547" max="3547" width="8.85546875" style="1" customWidth="1"/>
    <col min="3548" max="3549" width="8.42578125" style="1" customWidth="1"/>
    <col min="3550" max="3550" width="8.140625" style="1" customWidth="1"/>
    <col min="3551" max="3551" width="11.140625" style="1" customWidth="1"/>
    <col min="3552" max="3552" width="8.5703125" style="1" customWidth="1"/>
    <col min="3553" max="3553" width="9.140625" style="1" customWidth="1"/>
    <col min="3554" max="3554" width="9.5703125" style="1" customWidth="1"/>
    <col min="3555" max="3555" width="8.85546875" style="1" customWidth="1"/>
    <col min="3556" max="3556" width="8.42578125" style="1" customWidth="1"/>
    <col min="3557" max="3797" width="9.140625" style="1"/>
    <col min="3798" max="3798" width="8.5703125" style="1" customWidth="1"/>
    <col min="3799" max="3799" width="7.140625" style="1" customWidth="1"/>
    <col min="3800" max="3800" width="42.140625" style="1" customWidth="1"/>
    <col min="3801" max="3802" width="9.140625" style="1" customWidth="1"/>
    <col min="3803" max="3803" width="8.85546875" style="1" customWidth="1"/>
    <col min="3804" max="3805" width="8.42578125" style="1" customWidth="1"/>
    <col min="3806" max="3806" width="8.140625" style="1" customWidth="1"/>
    <col min="3807" max="3807" width="11.140625" style="1" customWidth="1"/>
    <col min="3808" max="3808" width="8.5703125" style="1" customWidth="1"/>
    <col min="3809" max="3809" width="9.140625" style="1" customWidth="1"/>
    <col min="3810" max="3810" width="9.5703125" style="1" customWidth="1"/>
    <col min="3811" max="3811" width="8.85546875" style="1" customWidth="1"/>
    <col min="3812" max="3812" width="8.42578125" style="1" customWidth="1"/>
    <col min="3813" max="4053" width="9.140625" style="1"/>
    <col min="4054" max="4054" width="8.5703125" style="1" customWidth="1"/>
    <col min="4055" max="4055" width="7.140625" style="1" customWidth="1"/>
    <col min="4056" max="4056" width="42.140625" style="1" customWidth="1"/>
    <col min="4057" max="4058" width="9.140625" style="1" customWidth="1"/>
    <col min="4059" max="4059" width="8.85546875" style="1" customWidth="1"/>
    <col min="4060" max="4061" width="8.42578125" style="1" customWidth="1"/>
    <col min="4062" max="4062" width="8.140625" style="1" customWidth="1"/>
    <col min="4063" max="4063" width="11.140625" style="1" customWidth="1"/>
    <col min="4064" max="4064" width="8.5703125" style="1" customWidth="1"/>
    <col min="4065" max="4065" width="9.140625" style="1" customWidth="1"/>
    <col min="4066" max="4066" width="9.5703125" style="1" customWidth="1"/>
    <col min="4067" max="4067" width="8.85546875" style="1" customWidth="1"/>
    <col min="4068" max="4068" width="8.42578125" style="1" customWidth="1"/>
    <col min="4069" max="4309" width="9.140625" style="1"/>
    <col min="4310" max="4310" width="8.5703125" style="1" customWidth="1"/>
    <col min="4311" max="4311" width="7.140625" style="1" customWidth="1"/>
    <col min="4312" max="4312" width="42.140625" style="1" customWidth="1"/>
    <col min="4313" max="4314" width="9.140625" style="1" customWidth="1"/>
    <col min="4315" max="4315" width="8.85546875" style="1" customWidth="1"/>
    <col min="4316" max="4317" width="8.42578125" style="1" customWidth="1"/>
    <col min="4318" max="4318" width="8.140625" style="1" customWidth="1"/>
    <col min="4319" max="4319" width="11.140625" style="1" customWidth="1"/>
    <col min="4320" max="4320" width="8.5703125" style="1" customWidth="1"/>
    <col min="4321" max="4321" width="9.140625" style="1" customWidth="1"/>
    <col min="4322" max="4322" width="9.5703125" style="1" customWidth="1"/>
    <col min="4323" max="4323" width="8.85546875" style="1" customWidth="1"/>
    <col min="4324" max="4324" width="8.42578125" style="1" customWidth="1"/>
    <col min="4325" max="4565" width="9.140625" style="1"/>
    <col min="4566" max="4566" width="8.5703125" style="1" customWidth="1"/>
    <col min="4567" max="4567" width="7.140625" style="1" customWidth="1"/>
    <col min="4568" max="4568" width="42.140625" style="1" customWidth="1"/>
    <col min="4569" max="4570" width="9.140625" style="1" customWidth="1"/>
    <col min="4571" max="4571" width="8.85546875" style="1" customWidth="1"/>
    <col min="4572" max="4573" width="8.42578125" style="1" customWidth="1"/>
    <col min="4574" max="4574" width="8.140625" style="1" customWidth="1"/>
    <col min="4575" max="4575" width="11.140625" style="1" customWidth="1"/>
    <col min="4576" max="4576" width="8.5703125" style="1" customWidth="1"/>
    <col min="4577" max="4577" width="9.140625" style="1" customWidth="1"/>
    <col min="4578" max="4578" width="9.5703125" style="1" customWidth="1"/>
    <col min="4579" max="4579" width="8.85546875" style="1" customWidth="1"/>
    <col min="4580" max="4580" width="8.42578125" style="1" customWidth="1"/>
    <col min="4581" max="4821" width="9.140625" style="1"/>
    <col min="4822" max="4822" width="8.5703125" style="1" customWidth="1"/>
    <col min="4823" max="4823" width="7.140625" style="1" customWidth="1"/>
    <col min="4824" max="4824" width="42.140625" style="1" customWidth="1"/>
    <col min="4825" max="4826" width="9.140625" style="1" customWidth="1"/>
    <col min="4827" max="4827" width="8.85546875" style="1" customWidth="1"/>
    <col min="4828" max="4829" width="8.42578125" style="1" customWidth="1"/>
    <col min="4830" max="4830" width="8.140625" style="1" customWidth="1"/>
    <col min="4831" max="4831" width="11.140625" style="1" customWidth="1"/>
    <col min="4832" max="4832" width="8.5703125" style="1" customWidth="1"/>
    <col min="4833" max="4833" width="9.140625" style="1" customWidth="1"/>
    <col min="4834" max="4834" width="9.5703125" style="1" customWidth="1"/>
    <col min="4835" max="4835" width="8.85546875" style="1" customWidth="1"/>
    <col min="4836" max="4836" width="8.42578125" style="1" customWidth="1"/>
    <col min="4837" max="5077" width="9.140625" style="1"/>
    <col min="5078" max="5078" width="8.5703125" style="1" customWidth="1"/>
    <col min="5079" max="5079" width="7.140625" style="1" customWidth="1"/>
    <col min="5080" max="5080" width="42.140625" style="1" customWidth="1"/>
    <col min="5081" max="5082" width="9.140625" style="1" customWidth="1"/>
    <col min="5083" max="5083" width="8.85546875" style="1" customWidth="1"/>
    <col min="5084" max="5085" width="8.42578125" style="1" customWidth="1"/>
    <col min="5086" max="5086" width="8.140625" style="1" customWidth="1"/>
    <col min="5087" max="5087" width="11.140625" style="1" customWidth="1"/>
    <col min="5088" max="5088" width="8.5703125" style="1" customWidth="1"/>
    <col min="5089" max="5089" width="9.140625" style="1" customWidth="1"/>
    <col min="5090" max="5090" width="9.5703125" style="1" customWidth="1"/>
    <col min="5091" max="5091" width="8.85546875" style="1" customWidth="1"/>
    <col min="5092" max="5092" width="8.42578125" style="1" customWidth="1"/>
    <col min="5093" max="5333" width="9.140625" style="1"/>
    <col min="5334" max="5334" width="8.5703125" style="1" customWidth="1"/>
    <col min="5335" max="5335" width="7.140625" style="1" customWidth="1"/>
    <col min="5336" max="5336" width="42.140625" style="1" customWidth="1"/>
    <col min="5337" max="5338" width="9.140625" style="1" customWidth="1"/>
    <col min="5339" max="5339" width="8.85546875" style="1" customWidth="1"/>
    <col min="5340" max="5341" width="8.42578125" style="1" customWidth="1"/>
    <col min="5342" max="5342" width="8.140625" style="1" customWidth="1"/>
    <col min="5343" max="5343" width="11.140625" style="1" customWidth="1"/>
    <col min="5344" max="5344" width="8.5703125" style="1" customWidth="1"/>
    <col min="5345" max="5345" width="9.140625" style="1" customWidth="1"/>
    <col min="5346" max="5346" width="9.5703125" style="1" customWidth="1"/>
    <col min="5347" max="5347" width="8.85546875" style="1" customWidth="1"/>
    <col min="5348" max="5348" width="8.42578125" style="1" customWidth="1"/>
    <col min="5349" max="5589" width="9.140625" style="1"/>
    <col min="5590" max="5590" width="8.5703125" style="1" customWidth="1"/>
    <col min="5591" max="5591" width="7.140625" style="1" customWidth="1"/>
    <col min="5592" max="5592" width="42.140625" style="1" customWidth="1"/>
    <col min="5593" max="5594" width="9.140625" style="1" customWidth="1"/>
    <col min="5595" max="5595" width="8.85546875" style="1" customWidth="1"/>
    <col min="5596" max="5597" width="8.42578125" style="1" customWidth="1"/>
    <col min="5598" max="5598" width="8.140625" style="1" customWidth="1"/>
    <col min="5599" max="5599" width="11.140625" style="1" customWidth="1"/>
    <col min="5600" max="5600" width="8.5703125" style="1" customWidth="1"/>
    <col min="5601" max="5601" width="9.140625" style="1" customWidth="1"/>
    <col min="5602" max="5602" width="9.5703125" style="1" customWidth="1"/>
    <col min="5603" max="5603" width="8.85546875" style="1" customWidth="1"/>
    <col min="5604" max="5604" width="8.42578125" style="1" customWidth="1"/>
    <col min="5605" max="5845" width="9.140625" style="1"/>
    <col min="5846" max="5846" width="8.5703125" style="1" customWidth="1"/>
    <col min="5847" max="5847" width="7.140625" style="1" customWidth="1"/>
    <col min="5848" max="5848" width="42.140625" style="1" customWidth="1"/>
    <col min="5849" max="5850" width="9.140625" style="1" customWidth="1"/>
    <col min="5851" max="5851" width="8.85546875" style="1" customWidth="1"/>
    <col min="5852" max="5853" width="8.42578125" style="1" customWidth="1"/>
    <col min="5854" max="5854" width="8.140625" style="1" customWidth="1"/>
    <col min="5855" max="5855" width="11.140625" style="1" customWidth="1"/>
    <col min="5856" max="5856" width="8.5703125" style="1" customWidth="1"/>
    <col min="5857" max="5857" width="9.140625" style="1" customWidth="1"/>
    <col min="5858" max="5858" width="9.5703125" style="1" customWidth="1"/>
    <col min="5859" max="5859" width="8.85546875" style="1" customWidth="1"/>
    <col min="5860" max="5860" width="8.42578125" style="1" customWidth="1"/>
    <col min="5861" max="6101" width="9.140625" style="1"/>
    <col min="6102" max="6102" width="8.5703125" style="1" customWidth="1"/>
    <col min="6103" max="6103" width="7.140625" style="1" customWidth="1"/>
    <col min="6104" max="6104" width="42.140625" style="1" customWidth="1"/>
    <col min="6105" max="6106" width="9.140625" style="1" customWidth="1"/>
    <col min="6107" max="6107" width="8.85546875" style="1" customWidth="1"/>
    <col min="6108" max="6109" width="8.42578125" style="1" customWidth="1"/>
    <col min="6110" max="6110" width="8.140625" style="1" customWidth="1"/>
    <col min="6111" max="6111" width="11.140625" style="1" customWidth="1"/>
    <col min="6112" max="6112" width="8.5703125" style="1" customWidth="1"/>
    <col min="6113" max="6113" width="9.140625" style="1" customWidth="1"/>
    <col min="6114" max="6114" width="9.5703125" style="1" customWidth="1"/>
    <col min="6115" max="6115" width="8.85546875" style="1" customWidth="1"/>
    <col min="6116" max="6116" width="8.42578125" style="1" customWidth="1"/>
    <col min="6117" max="6357" width="9.140625" style="1"/>
    <col min="6358" max="6358" width="8.5703125" style="1" customWidth="1"/>
    <col min="6359" max="6359" width="7.140625" style="1" customWidth="1"/>
    <col min="6360" max="6360" width="42.140625" style="1" customWidth="1"/>
    <col min="6361" max="6362" width="9.140625" style="1" customWidth="1"/>
    <col min="6363" max="6363" width="8.85546875" style="1" customWidth="1"/>
    <col min="6364" max="6365" width="8.42578125" style="1" customWidth="1"/>
    <col min="6366" max="6366" width="8.140625" style="1" customWidth="1"/>
    <col min="6367" max="6367" width="11.140625" style="1" customWidth="1"/>
    <col min="6368" max="6368" width="8.5703125" style="1" customWidth="1"/>
    <col min="6369" max="6369" width="9.140625" style="1" customWidth="1"/>
    <col min="6370" max="6370" width="9.5703125" style="1" customWidth="1"/>
    <col min="6371" max="6371" width="8.85546875" style="1" customWidth="1"/>
    <col min="6372" max="6372" width="8.42578125" style="1" customWidth="1"/>
    <col min="6373" max="6613" width="9.140625" style="1"/>
    <col min="6614" max="6614" width="8.5703125" style="1" customWidth="1"/>
    <col min="6615" max="6615" width="7.140625" style="1" customWidth="1"/>
    <col min="6616" max="6616" width="42.140625" style="1" customWidth="1"/>
    <col min="6617" max="6618" width="9.140625" style="1" customWidth="1"/>
    <col min="6619" max="6619" width="8.85546875" style="1" customWidth="1"/>
    <col min="6620" max="6621" width="8.42578125" style="1" customWidth="1"/>
    <col min="6622" max="6622" width="8.140625" style="1" customWidth="1"/>
    <col min="6623" max="6623" width="11.140625" style="1" customWidth="1"/>
    <col min="6624" max="6624" width="8.5703125" style="1" customWidth="1"/>
    <col min="6625" max="6625" width="9.140625" style="1" customWidth="1"/>
    <col min="6626" max="6626" width="9.5703125" style="1" customWidth="1"/>
    <col min="6627" max="6627" width="8.85546875" style="1" customWidth="1"/>
    <col min="6628" max="6628" width="8.42578125" style="1" customWidth="1"/>
    <col min="6629" max="6869" width="9.140625" style="1"/>
    <col min="6870" max="6870" width="8.5703125" style="1" customWidth="1"/>
    <col min="6871" max="6871" width="7.140625" style="1" customWidth="1"/>
    <col min="6872" max="6872" width="42.140625" style="1" customWidth="1"/>
    <col min="6873" max="6874" width="9.140625" style="1" customWidth="1"/>
    <col min="6875" max="6875" width="8.85546875" style="1" customWidth="1"/>
    <col min="6876" max="6877" width="8.42578125" style="1" customWidth="1"/>
    <col min="6878" max="6878" width="8.140625" style="1" customWidth="1"/>
    <col min="6879" max="6879" width="11.140625" style="1" customWidth="1"/>
    <col min="6880" max="6880" width="8.5703125" style="1" customWidth="1"/>
    <col min="6881" max="6881" width="9.140625" style="1" customWidth="1"/>
    <col min="6882" max="6882" width="9.5703125" style="1" customWidth="1"/>
    <col min="6883" max="6883" width="8.85546875" style="1" customWidth="1"/>
    <col min="6884" max="6884" width="8.42578125" style="1" customWidth="1"/>
    <col min="6885" max="7125" width="9.140625" style="1"/>
    <col min="7126" max="7126" width="8.5703125" style="1" customWidth="1"/>
    <col min="7127" max="7127" width="7.140625" style="1" customWidth="1"/>
    <col min="7128" max="7128" width="42.140625" style="1" customWidth="1"/>
    <col min="7129" max="7130" width="9.140625" style="1" customWidth="1"/>
    <col min="7131" max="7131" width="8.85546875" style="1" customWidth="1"/>
    <col min="7132" max="7133" width="8.42578125" style="1" customWidth="1"/>
    <col min="7134" max="7134" width="8.140625" style="1" customWidth="1"/>
    <col min="7135" max="7135" width="11.140625" style="1" customWidth="1"/>
    <col min="7136" max="7136" width="8.5703125" style="1" customWidth="1"/>
    <col min="7137" max="7137" width="9.140625" style="1" customWidth="1"/>
    <col min="7138" max="7138" width="9.5703125" style="1" customWidth="1"/>
    <col min="7139" max="7139" width="8.85546875" style="1" customWidth="1"/>
    <col min="7140" max="7140" width="8.42578125" style="1" customWidth="1"/>
    <col min="7141" max="7381" width="9.140625" style="1"/>
    <col min="7382" max="7382" width="8.5703125" style="1" customWidth="1"/>
    <col min="7383" max="7383" width="7.140625" style="1" customWidth="1"/>
    <col min="7384" max="7384" width="42.140625" style="1" customWidth="1"/>
    <col min="7385" max="7386" width="9.140625" style="1" customWidth="1"/>
    <col min="7387" max="7387" width="8.85546875" style="1" customWidth="1"/>
    <col min="7388" max="7389" width="8.42578125" style="1" customWidth="1"/>
    <col min="7390" max="7390" width="8.140625" style="1" customWidth="1"/>
    <col min="7391" max="7391" width="11.140625" style="1" customWidth="1"/>
    <col min="7392" max="7392" width="8.5703125" style="1" customWidth="1"/>
    <col min="7393" max="7393" width="9.140625" style="1" customWidth="1"/>
    <col min="7394" max="7394" width="9.5703125" style="1" customWidth="1"/>
    <col min="7395" max="7395" width="8.85546875" style="1" customWidth="1"/>
    <col min="7396" max="7396" width="8.42578125" style="1" customWidth="1"/>
    <col min="7397" max="7637" width="9.140625" style="1"/>
    <col min="7638" max="7638" width="8.5703125" style="1" customWidth="1"/>
    <col min="7639" max="7639" width="7.140625" style="1" customWidth="1"/>
    <col min="7640" max="7640" width="42.140625" style="1" customWidth="1"/>
    <col min="7641" max="7642" width="9.140625" style="1" customWidth="1"/>
    <col min="7643" max="7643" width="8.85546875" style="1" customWidth="1"/>
    <col min="7644" max="7645" width="8.42578125" style="1" customWidth="1"/>
    <col min="7646" max="7646" width="8.140625" style="1" customWidth="1"/>
    <col min="7647" max="7647" width="11.140625" style="1" customWidth="1"/>
    <col min="7648" max="7648" width="8.5703125" style="1" customWidth="1"/>
    <col min="7649" max="7649" width="9.140625" style="1" customWidth="1"/>
    <col min="7650" max="7650" width="9.5703125" style="1" customWidth="1"/>
    <col min="7651" max="7651" width="8.85546875" style="1" customWidth="1"/>
    <col min="7652" max="7652" width="8.42578125" style="1" customWidth="1"/>
    <col min="7653" max="7893" width="9.140625" style="1"/>
    <col min="7894" max="7894" width="8.5703125" style="1" customWidth="1"/>
    <col min="7895" max="7895" width="7.140625" style="1" customWidth="1"/>
    <col min="7896" max="7896" width="42.140625" style="1" customWidth="1"/>
    <col min="7897" max="7898" width="9.140625" style="1" customWidth="1"/>
    <col min="7899" max="7899" width="8.85546875" style="1" customWidth="1"/>
    <col min="7900" max="7901" width="8.42578125" style="1" customWidth="1"/>
    <col min="7902" max="7902" width="8.140625" style="1" customWidth="1"/>
    <col min="7903" max="7903" width="11.140625" style="1" customWidth="1"/>
    <col min="7904" max="7904" width="8.5703125" style="1" customWidth="1"/>
    <col min="7905" max="7905" width="9.140625" style="1" customWidth="1"/>
    <col min="7906" max="7906" width="9.5703125" style="1" customWidth="1"/>
    <col min="7907" max="7907" width="8.85546875" style="1" customWidth="1"/>
    <col min="7908" max="7908" width="8.42578125" style="1" customWidth="1"/>
    <col min="7909" max="8149" width="9.140625" style="1"/>
    <col min="8150" max="8150" width="8.5703125" style="1" customWidth="1"/>
    <col min="8151" max="8151" width="7.140625" style="1" customWidth="1"/>
    <col min="8152" max="8152" width="42.140625" style="1" customWidth="1"/>
    <col min="8153" max="8154" width="9.140625" style="1" customWidth="1"/>
    <col min="8155" max="8155" width="8.85546875" style="1" customWidth="1"/>
    <col min="8156" max="8157" width="8.42578125" style="1" customWidth="1"/>
    <col min="8158" max="8158" width="8.140625" style="1" customWidth="1"/>
    <col min="8159" max="8159" width="11.140625" style="1" customWidth="1"/>
    <col min="8160" max="8160" width="8.5703125" style="1" customWidth="1"/>
    <col min="8161" max="8161" width="9.140625" style="1" customWidth="1"/>
    <col min="8162" max="8162" width="9.5703125" style="1" customWidth="1"/>
    <col min="8163" max="8163" width="8.85546875" style="1" customWidth="1"/>
    <col min="8164" max="8164" width="8.42578125" style="1" customWidth="1"/>
    <col min="8165" max="8405" width="9.140625" style="1"/>
    <col min="8406" max="8406" width="8.5703125" style="1" customWidth="1"/>
    <col min="8407" max="8407" width="7.140625" style="1" customWidth="1"/>
    <col min="8408" max="8408" width="42.140625" style="1" customWidth="1"/>
    <col min="8409" max="8410" width="9.140625" style="1" customWidth="1"/>
    <col min="8411" max="8411" width="8.85546875" style="1" customWidth="1"/>
    <col min="8412" max="8413" width="8.42578125" style="1" customWidth="1"/>
    <col min="8414" max="8414" width="8.140625" style="1" customWidth="1"/>
    <col min="8415" max="8415" width="11.140625" style="1" customWidth="1"/>
    <col min="8416" max="8416" width="8.5703125" style="1" customWidth="1"/>
    <col min="8417" max="8417" width="9.140625" style="1" customWidth="1"/>
    <col min="8418" max="8418" width="9.5703125" style="1" customWidth="1"/>
    <col min="8419" max="8419" width="8.85546875" style="1" customWidth="1"/>
    <col min="8420" max="8420" width="8.42578125" style="1" customWidth="1"/>
    <col min="8421" max="8661" width="9.140625" style="1"/>
    <col min="8662" max="8662" width="8.5703125" style="1" customWidth="1"/>
    <col min="8663" max="8663" width="7.140625" style="1" customWidth="1"/>
    <col min="8664" max="8664" width="42.140625" style="1" customWidth="1"/>
    <col min="8665" max="8666" width="9.140625" style="1" customWidth="1"/>
    <col min="8667" max="8667" width="8.85546875" style="1" customWidth="1"/>
    <col min="8668" max="8669" width="8.42578125" style="1" customWidth="1"/>
    <col min="8670" max="8670" width="8.140625" style="1" customWidth="1"/>
    <col min="8671" max="8671" width="11.140625" style="1" customWidth="1"/>
    <col min="8672" max="8672" width="8.5703125" style="1" customWidth="1"/>
    <col min="8673" max="8673" width="9.140625" style="1" customWidth="1"/>
    <col min="8674" max="8674" width="9.5703125" style="1" customWidth="1"/>
    <col min="8675" max="8675" width="8.85546875" style="1" customWidth="1"/>
    <col min="8676" max="8676" width="8.42578125" style="1" customWidth="1"/>
    <col min="8677" max="8917" width="9.140625" style="1"/>
    <col min="8918" max="8918" width="8.5703125" style="1" customWidth="1"/>
    <col min="8919" max="8919" width="7.140625" style="1" customWidth="1"/>
    <col min="8920" max="8920" width="42.140625" style="1" customWidth="1"/>
    <col min="8921" max="8922" width="9.140625" style="1" customWidth="1"/>
    <col min="8923" max="8923" width="8.85546875" style="1" customWidth="1"/>
    <col min="8924" max="8925" width="8.42578125" style="1" customWidth="1"/>
    <col min="8926" max="8926" width="8.140625" style="1" customWidth="1"/>
    <col min="8927" max="8927" width="11.140625" style="1" customWidth="1"/>
    <col min="8928" max="8928" width="8.5703125" style="1" customWidth="1"/>
    <col min="8929" max="8929" width="9.140625" style="1" customWidth="1"/>
    <col min="8930" max="8930" width="9.5703125" style="1" customWidth="1"/>
    <col min="8931" max="8931" width="8.85546875" style="1" customWidth="1"/>
    <col min="8932" max="8932" width="8.42578125" style="1" customWidth="1"/>
    <col min="8933" max="9173" width="9.140625" style="1"/>
    <col min="9174" max="9174" width="8.5703125" style="1" customWidth="1"/>
    <col min="9175" max="9175" width="7.140625" style="1" customWidth="1"/>
    <col min="9176" max="9176" width="42.140625" style="1" customWidth="1"/>
    <col min="9177" max="9178" width="9.140625" style="1" customWidth="1"/>
    <col min="9179" max="9179" width="8.85546875" style="1" customWidth="1"/>
    <col min="9180" max="9181" width="8.42578125" style="1" customWidth="1"/>
    <col min="9182" max="9182" width="8.140625" style="1" customWidth="1"/>
    <col min="9183" max="9183" width="11.140625" style="1" customWidth="1"/>
    <col min="9184" max="9184" width="8.5703125" style="1" customWidth="1"/>
    <col min="9185" max="9185" width="9.140625" style="1" customWidth="1"/>
    <col min="9186" max="9186" width="9.5703125" style="1" customWidth="1"/>
    <col min="9187" max="9187" width="8.85546875" style="1" customWidth="1"/>
    <col min="9188" max="9188" width="8.42578125" style="1" customWidth="1"/>
    <col min="9189" max="9429" width="9.140625" style="1"/>
    <col min="9430" max="9430" width="8.5703125" style="1" customWidth="1"/>
    <col min="9431" max="9431" width="7.140625" style="1" customWidth="1"/>
    <col min="9432" max="9432" width="42.140625" style="1" customWidth="1"/>
    <col min="9433" max="9434" width="9.140625" style="1" customWidth="1"/>
    <col min="9435" max="9435" width="8.85546875" style="1" customWidth="1"/>
    <col min="9436" max="9437" width="8.42578125" style="1" customWidth="1"/>
    <col min="9438" max="9438" width="8.140625" style="1" customWidth="1"/>
    <col min="9439" max="9439" width="11.140625" style="1" customWidth="1"/>
    <col min="9440" max="9440" width="8.5703125" style="1" customWidth="1"/>
    <col min="9441" max="9441" width="9.140625" style="1" customWidth="1"/>
    <col min="9442" max="9442" width="9.5703125" style="1" customWidth="1"/>
    <col min="9443" max="9443" width="8.85546875" style="1" customWidth="1"/>
    <col min="9444" max="9444" width="8.42578125" style="1" customWidth="1"/>
    <col min="9445" max="9685" width="9.140625" style="1"/>
    <col min="9686" max="9686" width="8.5703125" style="1" customWidth="1"/>
    <col min="9687" max="9687" width="7.140625" style="1" customWidth="1"/>
    <col min="9688" max="9688" width="42.140625" style="1" customWidth="1"/>
    <col min="9689" max="9690" width="9.140625" style="1" customWidth="1"/>
    <col min="9691" max="9691" width="8.85546875" style="1" customWidth="1"/>
    <col min="9692" max="9693" width="8.42578125" style="1" customWidth="1"/>
    <col min="9694" max="9694" width="8.140625" style="1" customWidth="1"/>
    <col min="9695" max="9695" width="11.140625" style="1" customWidth="1"/>
    <col min="9696" max="9696" width="8.5703125" style="1" customWidth="1"/>
    <col min="9697" max="9697" width="9.140625" style="1" customWidth="1"/>
    <col min="9698" max="9698" width="9.5703125" style="1" customWidth="1"/>
    <col min="9699" max="9699" width="8.85546875" style="1" customWidth="1"/>
    <col min="9700" max="9700" width="8.42578125" style="1" customWidth="1"/>
    <col min="9701" max="9941" width="9.140625" style="1"/>
    <col min="9942" max="9942" width="8.5703125" style="1" customWidth="1"/>
    <col min="9943" max="9943" width="7.140625" style="1" customWidth="1"/>
    <col min="9944" max="9944" width="42.140625" style="1" customWidth="1"/>
    <col min="9945" max="9946" width="9.140625" style="1" customWidth="1"/>
    <col min="9947" max="9947" width="8.85546875" style="1" customWidth="1"/>
    <col min="9948" max="9949" width="8.42578125" style="1" customWidth="1"/>
    <col min="9950" max="9950" width="8.140625" style="1" customWidth="1"/>
    <col min="9951" max="9951" width="11.140625" style="1" customWidth="1"/>
    <col min="9952" max="9952" width="8.5703125" style="1" customWidth="1"/>
    <col min="9953" max="9953" width="9.140625" style="1" customWidth="1"/>
    <col min="9954" max="9954" width="9.5703125" style="1" customWidth="1"/>
    <col min="9955" max="9955" width="8.85546875" style="1" customWidth="1"/>
    <col min="9956" max="9956" width="8.42578125" style="1" customWidth="1"/>
    <col min="9957" max="10197" width="9.140625" style="1"/>
    <col min="10198" max="10198" width="8.5703125" style="1" customWidth="1"/>
    <col min="10199" max="10199" width="7.140625" style="1" customWidth="1"/>
    <col min="10200" max="10200" width="42.140625" style="1" customWidth="1"/>
    <col min="10201" max="10202" width="9.140625" style="1" customWidth="1"/>
    <col min="10203" max="10203" width="8.85546875" style="1" customWidth="1"/>
    <col min="10204" max="10205" width="8.42578125" style="1" customWidth="1"/>
    <col min="10206" max="10206" width="8.140625" style="1" customWidth="1"/>
    <col min="10207" max="10207" width="11.140625" style="1" customWidth="1"/>
    <col min="10208" max="10208" width="8.5703125" style="1" customWidth="1"/>
    <col min="10209" max="10209" width="9.140625" style="1" customWidth="1"/>
    <col min="10210" max="10210" width="9.5703125" style="1" customWidth="1"/>
    <col min="10211" max="10211" width="8.85546875" style="1" customWidth="1"/>
    <col min="10212" max="10212" width="8.42578125" style="1" customWidth="1"/>
    <col min="10213" max="10453" width="9.140625" style="1"/>
    <col min="10454" max="10454" width="8.5703125" style="1" customWidth="1"/>
    <col min="10455" max="10455" width="7.140625" style="1" customWidth="1"/>
    <col min="10456" max="10456" width="42.140625" style="1" customWidth="1"/>
    <col min="10457" max="10458" width="9.140625" style="1" customWidth="1"/>
    <col min="10459" max="10459" width="8.85546875" style="1" customWidth="1"/>
    <col min="10460" max="10461" width="8.42578125" style="1" customWidth="1"/>
    <col min="10462" max="10462" width="8.140625" style="1" customWidth="1"/>
    <col min="10463" max="10463" width="11.140625" style="1" customWidth="1"/>
    <col min="10464" max="10464" width="8.5703125" style="1" customWidth="1"/>
    <col min="10465" max="10465" width="9.140625" style="1" customWidth="1"/>
    <col min="10466" max="10466" width="9.5703125" style="1" customWidth="1"/>
    <col min="10467" max="10467" width="8.85546875" style="1" customWidth="1"/>
    <col min="10468" max="10468" width="8.42578125" style="1" customWidth="1"/>
    <col min="10469" max="10709" width="9.140625" style="1"/>
    <col min="10710" max="10710" width="8.5703125" style="1" customWidth="1"/>
    <col min="10711" max="10711" width="7.140625" style="1" customWidth="1"/>
    <col min="10712" max="10712" width="42.140625" style="1" customWidth="1"/>
    <col min="10713" max="10714" width="9.140625" style="1" customWidth="1"/>
    <col min="10715" max="10715" width="8.85546875" style="1" customWidth="1"/>
    <col min="10716" max="10717" width="8.42578125" style="1" customWidth="1"/>
    <col min="10718" max="10718" width="8.140625" style="1" customWidth="1"/>
    <col min="10719" max="10719" width="11.140625" style="1" customWidth="1"/>
    <col min="10720" max="10720" width="8.5703125" style="1" customWidth="1"/>
    <col min="10721" max="10721" width="9.140625" style="1" customWidth="1"/>
    <col min="10722" max="10722" width="9.5703125" style="1" customWidth="1"/>
    <col min="10723" max="10723" width="8.85546875" style="1" customWidth="1"/>
    <col min="10724" max="10724" width="8.42578125" style="1" customWidth="1"/>
    <col min="10725" max="10965" width="9.140625" style="1"/>
    <col min="10966" max="10966" width="8.5703125" style="1" customWidth="1"/>
    <col min="10967" max="10967" width="7.140625" style="1" customWidth="1"/>
    <col min="10968" max="10968" width="42.140625" style="1" customWidth="1"/>
    <col min="10969" max="10970" width="9.140625" style="1" customWidth="1"/>
    <col min="10971" max="10971" width="8.85546875" style="1" customWidth="1"/>
    <col min="10972" max="10973" width="8.42578125" style="1" customWidth="1"/>
    <col min="10974" max="10974" width="8.140625" style="1" customWidth="1"/>
    <col min="10975" max="10975" width="11.140625" style="1" customWidth="1"/>
    <col min="10976" max="10976" width="8.5703125" style="1" customWidth="1"/>
    <col min="10977" max="10977" width="9.140625" style="1" customWidth="1"/>
    <col min="10978" max="10978" width="9.5703125" style="1" customWidth="1"/>
    <col min="10979" max="10979" width="8.85546875" style="1" customWidth="1"/>
    <col min="10980" max="10980" width="8.42578125" style="1" customWidth="1"/>
    <col min="10981" max="11221" width="9.140625" style="1"/>
    <col min="11222" max="11222" width="8.5703125" style="1" customWidth="1"/>
    <col min="11223" max="11223" width="7.140625" style="1" customWidth="1"/>
    <col min="11224" max="11224" width="42.140625" style="1" customWidth="1"/>
    <col min="11225" max="11226" width="9.140625" style="1" customWidth="1"/>
    <col min="11227" max="11227" width="8.85546875" style="1" customWidth="1"/>
    <col min="11228" max="11229" width="8.42578125" style="1" customWidth="1"/>
    <col min="11230" max="11230" width="8.140625" style="1" customWidth="1"/>
    <col min="11231" max="11231" width="11.140625" style="1" customWidth="1"/>
    <col min="11232" max="11232" width="8.5703125" style="1" customWidth="1"/>
    <col min="11233" max="11233" width="9.140625" style="1" customWidth="1"/>
    <col min="11234" max="11234" width="9.5703125" style="1" customWidth="1"/>
    <col min="11235" max="11235" width="8.85546875" style="1" customWidth="1"/>
    <col min="11236" max="11236" width="8.42578125" style="1" customWidth="1"/>
    <col min="11237" max="11477" width="9.140625" style="1"/>
    <col min="11478" max="11478" width="8.5703125" style="1" customWidth="1"/>
    <col min="11479" max="11479" width="7.140625" style="1" customWidth="1"/>
    <col min="11480" max="11480" width="42.140625" style="1" customWidth="1"/>
    <col min="11481" max="11482" width="9.140625" style="1" customWidth="1"/>
    <col min="11483" max="11483" width="8.85546875" style="1" customWidth="1"/>
    <col min="11484" max="11485" width="8.42578125" style="1" customWidth="1"/>
    <col min="11486" max="11486" width="8.140625" style="1" customWidth="1"/>
    <col min="11487" max="11487" width="11.140625" style="1" customWidth="1"/>
    <col min="11488" max="11488" width="8.5703125" style="1" customWidth="1"/>
    <col min="11489" max="11489" width="9.140625" style="1" customWidth="1"/>
    <col min="11490" max="11490" width="9.5703125" style="1" customWidth="1"/>
    <col min="11491" max="11491" width="8.85546875" style="1" customWidth="1"/>
    <col min="11492" max="11492" width="8.42578125" style="1" customWidth="1"/>
    <col min="11493" max="11733" width="9.140625" style="1"/>
    <col min="11734" max="11734" width="8.5703125" style="1" customWidth="1"/>
    <col min="11735" max="11735" width="7.140625" style="1" customWidth="1"/>
    <col min="11736" max="11736" width="42.140625" style="1" customWidth="1"/>
    <col min="11737" max="11738" width="9.140625" style="1" customWidth="1"/>
    <col min="11739" max="11739" width="8.85546875" style="1" customWidth="1"/>
    <col min="11740" max="11741" width="8.42578125" style="1" customWidth="1"/>
    <col min="11742" max="11742" width="8.140625" style="1" customWidth="1"/>
    <col min="11743" max="11743" width="11.140625" style="1" customWidth="1"/>
    <col min="11744" max="11744" width="8.5703125" style="1" customWidth="1"/>
    <col min="11745" max="11745" width="9.140625" style="1" customWidth="1"/>
    <col min="11746" max="11746" width="9.5703125" style="1" customWidth="1"/>
    <col min="11747" max="11747" width="8.85546875" style="1" customWidth="1"/>
    <col min="11748" max="11748" width="8.42578125" style="1" customWidth="1"/>
    <col min="11749" max="11989" width="9.140625" style="1"/>
    <col min="11990" max="11990" width="8.5703125" style="1" customWidth="1"/>
    <col min="11991" max="11991" width="7.140625" style="1" customWidth="1"/>
    <col min="11992" max="11992" width="42.140625" style="1" customWidth="1"/>
    <col min="11993" max="11994" width="9.140625" style="1" customWidth="1"/>
    <col min="11995" max="11995" width="8.85546875" style="1" customWidth="1"/>
    <col min="11996" max="11997" width="8.42578125" style="1" customWidth="1"/>
    <col min="11998" max="11998" width="8.140625" style="1" customWidth="1"/>
    <col min="11999" max="11999" width="11.140625" style="1" customWidth="1"/>
    <col min="12000" max="12000" width="8.5703125" style="1" customWidth="1"/>
    <col min="12001" max="12001" width="9.140625" style="1" customWidth="1"/>
    <col min="12002" max="12002" width="9.5703125" style="1" customWidth="1"/>
    <col min="12003" max="12003" width="8.85546875" style="1" customWidth="1"/>
    <col min="12004" max="12004" width="8.42578125" style="1" customWidth="1"/>
    <col min="12005" max="12245" width="9.140625" style="1"/>
    <col min="12246" max="12246" width="8.5703125" style="1" customWidth="1"/>
    <col min="12247" max="12247" width="7.140625" style="1" customWidth="1"/>
    <col min="12248" max="12248" width="42.140625" style="1" customWidth="1"/>
    <col min="12249" max="12250" width="9.140625" style="1" customWidth="1"/>
    <col min="12251" max="12251" width="8.85546875" style="1" customWidth="1"/>
    <col min="12252" max="12253" width="8.42578125" style="1" customWidth="1"/>
    <col min="12254" max="12254" width="8.140625" style="1" customWidth="1"/>
    <col min="12255" max="12255" width="11.140625" style="1" customWidth="1"/>
    <col min="12256" max="12256" width="8.5703125" style="1" customWidth="1"/>
    <col min="12257" max="12257" width="9.140625" style="1" customWidth="1"/>
    <col min="12258" max="12258" width="9.5703125" style="1" customWidth="1"/>
    <col min="12259" max="12259" width="8.85546875" style="1" customWidth="1"/>
    <col min="12260" max="12260" width="8.42578125" style="1" customWidth="1"/>
    <col min="12261" max="12501" width="9.140625" style="1"/>
    <col min="12502" max="12502" width="8.5703125" style="1" customWidth="1"/>
    <col min="12503" max="12503" width="7.140625" style="1" customWidth="1"/>
    <col min="12504" max="12504" width="42.140625" style="1" customWidth="1"/>
    <col min="12505" max="12506" width="9.140625" style="1" customWidth="1"/>
    <col min="12507" max="12507" width="8.85546875" style="1" customWidth="1"/>
    <col min="12508" max="12509" width="8.42578125" style="1" customWidth="1"/>
    <col min="12510" max="12510" width="8.140625" style="1" customWidth="1"/>
    <col min="12511" max="12511" width="11.140625" style="1" customWidth="1"/>
    <col min="12512" max="12512" width="8.5703125" style="1" customWidth="1"/>
    <col min="12513" max="12513" width="9.140625" style="1" customWidth="1"/>
    <col min="12514" max="12514" width="9.5703125" style="1" customWidth="1"/>
    <col min="12515" max="12515" width="8.85546875" style="1" customWidth="1"/>
    <col min="12516" max="12516" width="8.42578125" style="1" customWidth="1"/>
    <col min="12517" max="12757" width="9.140625" style="1"/>
    <col min="12758" max="12758" width="8.5703125" style="1" customWidth="1"/>
    <col min="12759" max="12759" width="7.140625" style="1" customWidth="1"/>
    <col min="12760" max="12760" width="42.140625" style="1" customWidth="1"/>
    <col min="12761" max="12762" width="9.140625" style="1" customWidth="1"/>
    <col min="12763" max="12763" width="8.85546875" style="1" customWidth="1"/>
    <col min="12764" max="12765" width="8.42578125" style="1" customWidth="1"/>
    <col min="12766" max="12766" width="8.140625" style="1" customWidth="1"/>
    <col min="12767" max="12767" width="11.140625" style="1" customWidth="1"/>
    <col min="12768" max="12768" width="8.5703125" style="1" customWidth="1"/>
    <col min="12769" max="12769" width="9.140625" style="1" customWidth="1"/>
    <col min="12770" max="12770" width="9.5703125" style="1" customWidth="1"/>
    <col min="12771" max="12771" width="8.85546875" style="1" customWidth="1"/>
    <col min="12772" max="12772" width="8.42578125" style="1" customWidth="1"/>
    <col min="12773" max="13013" width="9.140625" style="1"/>
    <col min="13014" max="13014" width="8.5703125" style="1" customWidth="1"/>
    <col min="13015" max="13015" width="7.140625" style="1" customWidth="1"/>
    <col min="13016" max="13016" width="42.140625" style="1" customWidth="1"/>
    <col min="13017" max="13018" width="9.140625" style="1" customWidth="1"/>
    <col min="13019" max="13019" width="8.85546875" style="1" customWidth="1"/>
    <col min="13020" max="13021" width="8.42578125" style="1" customWidth="1"/>
    <col min="13022" max="13022" width="8.140625" style="1" customWidth="1"/>
    <col min="13023" max="13023" width="11.140625" style="1" customWidth="1"/>
    <col min="13024" max="13024" width="8.5703125" style="1" customWidth="1"/>
    <col min="13025" max="13025" width="9.140625" style="1" customWidth="1"/>
    <col min="13026" max="13026" width="9.5703125" style="1" customWidth="1"/>
    <col min="13027" max="13027" width="8.85546875" style="1" customWidth="1"/>
    <col min="13028" max="13028" width="8.42578125" style="1" customWidth="1"/>
    <col min="13029" max="13269" width="9.140625" style="1"/>
    <col min="13270" max="13270" width="8.5703125" style="1" customWidth="1"/>
    <col min="13271" max="13271" width="7.140625" style="1" customWidth="1"/>
    <col min="13272" max="13272" width="42.140625" style="1" customWidth="1"/>
    <col min="13273" max="13274" width="9.140625" style="1" customWidth="1"/>
    <col min="13275" max="13275" width="8.85546875" style="1" customWidth="1"/>
    <col min="13276" max="13277" width="8.42578125" style="1" customWidth="1"/>
    <col min="13278" max="13278" width="8.140625" style="1" customWidth="1"/>
    <col min="13279" max="13279" width="11.140625" style="1" customWidth="1"/>
    <col min="13280" max="13280" width="8.5703125" style="1" customWidth="1"/>
    <col min="13281" max="13281" width="9.140625" style="1" customWidth="1"/>
    <col min="13282" max="13282" width="9.5703125" style="1" customWidth="1"/>
    <col min="13283" max="13283" width="8.85546875" style="1" customWidth="1"/>
    <col min="13284" max="13284" width="8.42578125" style="1" customWidth="1"/>
    <col min="13285" max="13525" width="9.140625" style="1"/>
    <col min="13526" max="13526" width="8.5703125" style="1" customWidth="1"/>
    <col min="13527" max="13527" width="7.140625" style="1" customWidth="1"/>
    <col min="13528" max="13528" width="42.140625" style="1" customWidth="1"/>
    <col min="13529" max="13530" width="9.140625" style="1" customWidth="1"/>
    <col min="13531" max="13531" width="8.85546875" style="1" customWidth="1"/>
    <col min="13532" max="13533" width="8.42578125" style="1" customWidth="1"/>
    <col min="13534" max="13534" width="8.140625" style="1" customWidth="1"/>
    <col min="13535" max="13535" width="11.140625" style="1" customWidth="1"/>
    <col min="13536" max="13536" width="8.5703125" style="1" customWidth="1"/>
    <col min="13537" max="13537" width="9.140625" style="1" customWidth="1"/>
    <col min="13538" max="13538" width="9.5703125" style="1" customWidth="1"/>
    <col min="13539" max="13539" width="8.85546875" style="1" customWidth="1"/>
    <col min="13540" max="13540" width="8.42578125" style="1" customWidth="1"/>
    <col min="13541" max="13781" width="9.140625" style="1"/>
    <col min="13782" max="13782" width="8.5703125" style="1" customWidth="1"/>
    <col min="13783" max="13783" width="7.140625" style="1" customWidth="1"/>
    <col min="13784" max="13784" width="42.140625" style="1" customWidth="1"/>
    <col min="13785" max="13786" width="9.140625" style="1" customWidth="1"/>
    <col min="13787" max="13787" width="8.85546875" style="1" customWidth="1"/>
    <col min="13788" max="13789" width="8.42578125" style="1" customWidth="1"/>
    <col min="13790" max="13790" width="8.140625" style="1" customWidth="1"/>
    <col min="13791" max="13791" width="11.140625" style="1" customWidth="1"/>
    <col min="13792" max="13792" width="8.5703125" style="1" customWidth="1"/>
    <col min="13793" max="13793" width="9.140625" style="1" customWidth="1"/>
    <col min="13794" max="13794" width="9.5703125" style="1" customWidth="1"/>
    <col min="13795" max="13795" width="8.85546875" style="1" customWidth="1"/>
    <col min="13796" max="13796" width="8.42578125" style="1" customWidth="1"/>
    <col min="13797" max="14037" width="9.140625" style="1"/>
    <col min="14038" max="14038" width="8.5703125" style="1" customWidth="1"/>
    <col min="14039" max="14039" width="7.140625" style="1" customWidth="1"/>
    <col min="14040" max="14040" width="42.140625" style="1" customWidth="1"/>
    <col min="14041" max="14042" width="9.140625" style="1" customWidth="1"/>
    <col min="14043" max="14043" width="8.85546875" style="1" customWidth="1"/>
    <col min="14044" max="14045" width="8.42578125" style="1" customWidth="1"/>
    <col min="14046" max="14046" width="8.140625" style="1" customWidth="1"/>
    <col min="14047" max="14047" width="11.140625" style="1" customWidth="1"/>
    <col min="14048" max="14048" width="8.5703125" style="1" customWidth="1"/>
    <col min="14049" max="14049" width="9.140625" style="1" customWidth="1"/>
    <col min="14050" max="14050" width="9.5703125" style="1" customWidth="1"/>
    <col min="14051" max="14051" width="8.85546875" style="1" customWidth="1"/>
    <col min="14052" max="14052" width="8.42578125" style="1" customWidth="1"/>
    <col min="14053" max="14293" width="9.140625" style="1"/>
    <col min="14294" max="14294" width="8.5703125" style="1" customWidth="1"/>
    <col min="14295" max="14295" width="7.140625" style="1" customWidth="1"/>
    <col min="14296" max="14296" width="42.140625" style="1" customWidth="1"/>
    <col min="14297" max="14298" width="9.140625" style="1" customWidth="1"/>
    <col min="14299" max="14299" width="8.85546875" style="1" customWidth="1"/>
    <col min="14300" max="14301" width="8.42578125" style="1" customWidth="1"/>
    <col min="14302" max="14302" width="8.140625" style="1" customWidth="1"/>
    <col min="14303" max="14303" width="11.140625" style="1" customWidth="1"/>
    <col min="14304" max="14304" width="8.5703125" style="1" customWidth="1"/>
    <col min="14305" max="14305" width="9.140625" style="1" customWidth="1"/>
    <col min="14306" max="14306" width="9.5703125" style="1" customWidth="1"/>
    <col min="14307" max="14307" width="8.85546875" style="1" customWidth="1"/>
    <col min="14308" max="14308" width="8.42578125" style="1" customWidth="1"/>
    <col min="14309" max="14549" width="9.140625" style="1"/>
    <col min="14550" max="14550" width="8.5703125" style="1" customWidth="1"/>
    <col min="14551" max="14551" width="7.140625" style="1" customWidth="1"/>
    <col min="14552" max="14552" width="42.140625" style="1" customWidth="1"/>
    <col min="14553" max="14554" width="9.140625" style="1" customWidth="1"/>
    <col min="14555" max="14555" width="8.85546875" style="1" customWidth="1"/>
    <col min="14556" max="14557" width="8.42578125" style="1" customWidth="1"/>
    <col min="14558" max="14558" width="8.140625" style="1" customWidth="1"/>
    <col min="14559" max="14559" width="11.140625" style="1" customWidth="1"/>
    <col min="14560" max="14560" width="8.5703125" style="1" customWidth="1"/>
    <col min="14561" max="14561" width="9.140625" style="1" customWidth="1"/>
    <col min="14562" max="14562" width="9.5703125" style="1" customWidth="1"/>
    <col min="14563" max="14563" width="8.85546875" style="1" customWidth="1"/>
    <col min="14564" max="14564" width="8.42578125" style="1" customWidth="1"/>
    <col min="14565" max="14805" width="9.140625" style="1"/>
    <col min="14806" max="14806" width="8.5703125" style="1" customWidth="1"/>
    <col min="14807" max="14807" width="7.140625" style="1" customWidth="1"/>
    <col min="14808" max="14808" width="42.140625" style="1" customWidth="1"/>
    <col min="14809" max="14810" width="9.140625" style="1" customWidth="1"/>
    <col min="14811" max="14811" width="8.85546875" style="1" customWidth="1"/>
    <col min="14812" max="14813" width="8.42578125" style="1" customWidth="1"/>
    <col min="14814" max="14814" width="8.140625" style="1" customWidth="1"/>
    <col min="14815" max="14815" width="11.140625" style="1" customWidth="1"/>
    <col min="14816" max="14816" width="8.5703125" style="1" customWidth="1"/>
    <col min="14817" max="14817" width="9.140625" style="1" customWidth="1"/>
    <col min="14818" max="14818" width="9.5703125" style="1" customWidth="1"/>
    <col min="14819" max="14819" width="8.85546875" style="1" customWidth="1"/>
    <col min="14820" max="14820" width="8.42578125" style="1" customWidth="1"/>
    <col min="14821" max="15061" width="9.140625" style="1"/>
    <col min="15062" max="15062" width="8.5703125" style="1" customWidth="1"/>
    <col min="15063" max="15063" width="7.140625" style="1" customWidth="1"/>
    <col min="15064" max="15064" width="42.140625" style="1" customWidth="1"/>
    <col min="15065" max="15066" width="9.140625" style="1" customWidth="1"/>
    <col min="15067" max="15067" width="8.85546875" style="1" customWidth="1"/>
    <col min="15068" max="15069" width="8.42578125" style="1" customWidth="1"/>
    <col min="15070" max="15070" width="8.140625" style="1" customWidth="1"/>
    <col min="15071" max="15071" width="11.140625" style="1" customWidth="1"/>
    <col min="15072" max="15072" width="8.5703125" style="1" customWidth="1"/>
    <col min="15073" max="15073" width="9.140625" style="1" customWidth="1"/>
    <col min="15074" max="15074" width="9.5703125" style="1" customWidth="1"/>
    <col min="15075" max="15075" width="8.85546875" style="1" customWidth="1"/>
    <col min="15076" max="15076" width="8.42578125" style="1" customWidth="1"/>
    <col min="15077" max="15317" width="9.140625" style="1"/>
    <col min="15318" max="15318" width="8.5703125" style="1" customWidth="1"/>
    <col min="15319" max="15319" width="7.140625" style="1" customWidth="1"/>
    <col min="15320" max="15320" width="42.140625" style="1" customWidth="1"/>
    <col min="15321" max="15322" width="9.140625" style="1" customWidth="1"/>
    <col min="15323" max="15323" width="8.85546875" style="1" customWidth="1"/>
    <col min="15324" max="15325" width="8.42578125" style="1" customWidth="1"/>
    <col min="15326" max="15326" width="8.140625" style="1" customWidth="1"/>
    <col min="15327" max="15327" width="11.140625" style="1" customWidth="1"/>
    <col min="15328" max="15328" width="8.5703125" style="1" customWidth="1"/>
    <col min="15329" max="15329" width="9.140625" style="1" customWidth="1"/>
    <col min="15330" max="15330" width="9.5703125" style="1" customWidth="1"/>
    <col min="15331" max="15331" width="8.85546875" style="1" customWidth="1"/>
    <col min="15332" max="15332" width="8.42578125" style="1" customWidth="1"/>
    <col min="15333" max="15573" width="9.140625" style="1"/>
    <col min="15574" max="15574" width="8.5703125" style="1" customWidth="1"/>
    <col min="15575" max="15575" width="7.140625" style="1" customWidth="1"/>
    <col min="15576" max="15576" width="42.140625" style="1" customWidth="1"/>
    <col min="15577" max="15578" width="9.140625" style="1" customWidth="1"/>
    <col min="15579" max="15579" width="8.85546875" style="1" customWidth="1"/>
    <col min="15580" max="15581" width="8.42578125" style="1" customWidth="1"/>
    <col min="15582" max="15582" width="8.140625" style="1" customWidth="1"/>
    <col min="15583" max="15583" width="11.140625" style="1" customWidth="1"/>
    <col min="15584" max="15584" width="8.5703125" style="1" customWidth="1"/>
    <col min="15585" max="15585" width="9.140625" style="1" customWidth="1"/>
    <col min="15586" max="15586" width="9.5703125" style="1" customWidth="1"/>
    <col min="15587" max="15587" width="8.85546875" style="1" customWidth="1"/>
    <col min="15588" max="15588" width="8.42578125" style="1" customWidth="1"/>
    <col min="15589" max="15829" width="9.140625" style="1"/>
    <col min="15830" max="15830" width="8.5703125" style="1" customWidth="1"/>
    <col min="15831" max="15831" width="7.140625" style="1" customWidth="1"/>
    <col min="15832" max="15832" width="42.140625" style="1" customWidth="1"/>
    <col min="15833" max="15834" width="9.140625" style="1" customWidth="1"/>
    <col min="15835" max="15835" width="8.85546875" style="1" customWidth="1"/>
    <col min="15836" max="15837" width="8.42578125" style="1" customWidth="1"/>
    <col min="15838" max="15838" width="8.140625" style="1" customWidth="1"/>
    <col min="15839" max="15839" width="11.140625" style="1" customWidth="1"/>
    <col min="15840" max="15840" width="8.5703125" style="1" customWidth="1"/>
    <col min="15841" max="15841" width="9.140625" style="1" customWidth="1"/>
    <col min="15842" max="15842" width="9.5703125" style="1" customWidth="1"/>
    <col min="15843" max="15843" width="8.85546875" style="1" customWidth="1"/>
    <col min="15844" max="15844" width="8.42578125" style="1" customWidth="1"/>
    <col min="15845" max="16085" width="9.140625" style="1"/>
    <col min="16086" max="16086" width="8.5703125" style="1" customWidth="1"/>
    <col min="16087" max="16087" width="7.140625" style="1" customWidth="1"/>
    <col min="16088" max="16088" width="42.140625" style="1" customWidth="1"/>
    <col min="16089" max="16090" width="9.140625" style="1" customWidth="1"/>
    <col min="16091" max="16091" width="8.85546875" style="1" customWidth="1"/>
    <col min="16092" max="16093" width="8.42578125" style="1" customWidth="1"/>
    <col min="16094" max="16094" width="8.140625" style="1" customWidth="1"/>
    <col min="16095" max="16095" width="11.140625" style="1" customWidth="1"/>
    <col min="16096" max="16096" width="8.5703125" style="1" customWidth="1"/>
    <col min="16097" max="16097" width="9.140625" style="1" customWidth="1"/>
    <col min="16098" max="16098" width="9.5703125" style="1" customWidth="1"/>
    <col min="16099" max="16099" width="8.85546875" style="1" customWidth="1"/>
    <col min="16100" max="16100" width="8.42578125" style="1" customWidth="1"/>
    <col min="16101" max="16384" width="9.140625" style="1"/>
  </cols>
  <sheetData>
    <row r="1" spans="1:5" x14ac:dyDescent="0.25">
      <c r="B1" s="103" t="s">
        <v>0</v>
      </c>
      <c r="D1" s="1" t="s">
        <v>203</v>
      </c>
    </row>
    <row r="2" spans="1:5" x14ac:dyDescent="0.25">
      <c r="A2" s="3" t="s">
        <v>328</v>
      </c>
      <c r="B2" s="3"/>
      <c r="C2" s="735"/>
      <c r="D2" s="735"/>
    </row>
    <row r="3" spans="1:5" ht="29.25" x14ac:dyDescent="0.25">
      <c r="B3" s="73" t="s">
        <v>714</v>
      </c>
    </row>
    <row r="4" spans="1:5" s="6" customFormat="1" x14ac:dyDescent="0.25">
      <c r="A4" s="187" t="s">
        <v>329</v>
      </c>
      <c r="B4" s="188"/>
      <c r="C4" s="33" t="s">
        <v>326</v>
      </c>
      <c r="D4" s="33" t="s">
        <v>463</v>
      </c>
      <c r="E4" s="33" t="s">
        <v>174</v>
      </c>
    </row>
    <row r="5" spans="1:5" s="5" customFormat="1" ht="45.75" thickBot="1" x14ac:dyDescent="0.3">
      <c r="B5" s="73"/>
      <c r="C5" s="5" t="s">
        <v>585</v>
      </c>
      <c r="D5" s="5" t="s">
        <v>895</v>
      </c>
      <c r="E5" s="739" t="s">
        <v>927</v>
      </c>
    </row>
    <row r="6" spans="1:5" ht="19.5" thickBot="1" x14ac:dyDescent="0.35">
      <c r="A6" s="189" t="s">
        <v>7</v>
      </c>
      <c r="B6" s="750" t="s">
        <v>10</v>
      </c>
      <c r="C6" s="36" t="s">
        <v>716</v>
      </c>
      <c r="D6" s="36" t="s">
        <v>716</v>
      </c>
      <c r="E6" s="36" t="s">
        <v>716</v>
      </c>
    </row>
    <row r="7" spans="1:5" x14ac:dyDescent="0.25">
      <c r="A7" s="101">
        <v>1100</v>
      </c>
      <c r="B7" s="104" t="s">
        <v>11</v>
      </c>
      <c r="C7" s="110"/>
      <c r="D7" s="261">
        <v>29335</v>
      </c>
      <c r="E7" s="110"/>
    </row>
    <row r="8" spans="1:5" ht="45" x14ac:dyDescent="0.25">
      <c r="A8" s="42">
        <v>1200</v>
      </c>
      <c r="B8" s="43" t="s">
        <v>12</v>
      </c>
      <c r="C8" s="65"/>
      <c r="D8" s="262">
        <v>8927</v>
      </c>
      <c r="E8" s="44"/>
    </row>
    <row r="9" spans="1:5" x14ac:dyDescent="0.25">
      <c r="A9" s="42">
        <v>2000</v>
      </c>
      <c r="B9" s="43" t="s">
        <v>13</v>
      </c>
      <c r="C9" s="65">
        <f t="shared" ref="C9:E9" si="0">SUM(C10+C11+C12+C13+C14)</f>
        <v>44719</v>
      </c>
      <c r="D9" s="262">
        <f t="shared" si="0"/>
        <v>4023</v>
      </c>
      <c r="E9" s="65">
        <f t="shared" si="0"/>
        <v>54545</v>
      </c>
    </row>
    <row r="10" spans="1:5" ht="30" x14ac:dyDescent="0.25">
      <c r="A10" s="42">
        <v>2100</v>
      </c>
      <c r="B10" s="43" t="s">
        <v>178</v>
      </c>
      <c r="C10" s="65"/>
      <c r="D10" s="262"/>
      <c r="E10" s="65"/>
    </row>
    <row r="11" spans="1:5" x14ac:dyDescent="0.25">
      <c r="A11" s="42">
        <v>2200</v>
      </c>
      <c r="B11" s="43" t="s">
        <v>15</v>
      </c>
      <c r="C11" s="65">
        <v>36819</v>
      </c>
      <c r="D11" s="262">
        <v>1623</v>
      </c>
      <c r="E11" s="65">
        <f>54210-2000-7900</f>
        <v>44310</v>
      </c>
    </row>
    <row r="12" spans="1:5" s="7" customFormat="1" ht="30" x14ac:dyDescent="0.25">
      <c r="A12" s="42">
        <v>2300</v>
      </c>
      <c r="B12" s="43" t="s">
        <v>16</v>
      </c>
      <c r="C12" s="65">
        <v>1000</v>
      </c>
      <c r="D12" s="262">
        <v>2400</v>
      </c>
      <c r="E12" s="65">
        <f>3835+6400</f>
        <v>10235</v>
      </c>
    </row>
    <row r="13" spans="1:5" x14ac:dyDescent="0.25">
      <c r="A13" s="42">
        <v>2400</v>
      </c>
      <c r="B13" s="83" t="s">
        <v>46</v>
      </c>
      <c r="C13" s="65"/>
      <c r="D13" s="262"/>
      <c r="E13" s="65"/>
    </row>
    <row r="14" spans="1:5" ht="30" x14ac:dyDescent="0.25">
      <c r="A14" s="42">
        <v>2500</v>
      </c>
      <c r="B14" s="43" t="s">
        <v>172</v>
      </c>
      <c r="C14" s="65">
        <v>6900</v>
      </c>
      <c r="D14" s="262"/>
      <c r="E14" s="65"/>
    </row>
    <row r="15" spans="1:5" ht="30" x14ac:dyDescent="0.25">
      <c r="A15" s="42">
        <v>3200</v>
      </c>
      <c r="B15" s="43" t="s">
        <v>18</v>
      </c>
      <c r="C15" s="65"/>
      <c r="D15" s="262"/>
      <c r="E15" s="65"/>
    </row>
    <row r="16" spans="1:5" x14ac:dyDescent="0.25">
      <c r="A16" s="42">
        <v>4200</v>
      </c>
      <c r="B16" s="43" t="s">
        <v>19</v>
      </c>
      <c r="C16" s="65"/>
      <c r="D16" s="262"/>
      <c r="E16" s="65"/>
    </row>
    <row r="17" spans="1:6" x14ac:dyDescent="0.25">
      <c r="A17" s="42">
        <v>4300</v>
      </c>
      <c r="B17" s="43" t="s">
        <v>20</v>
      </c>
      <c r="C17" s="65"/>
      <c r="D17" s="262"/>
      <c r="E17" s="65"/>
    </row>
    <row r="18" spans="1:6" x14ac:dyDescent="0.25">
      <c r="A18" s="42">
        <v>5100</v>
      </c>
      <c r="B18" s="43" t="s">
        <v>22</v>
      </c>
      <c r="C18" s="65"/>
      <c r="D18" s="47"/>
      <c r="E18" s="65"/>
    </row>
    <row r="19" spans="1:6" x14ac:dyDescent="0.25">
      <c r="A19" s="42">
        <v>5200</v>
      </c>
      <c r="B19" s="43" t="s">
        <v>23</v>
      </c>
      <c r="C19" s="65">
        <v>4350</v>
      </c>
      <c r="D19" s="47"/>
      <c r="E19" s="65">
        <v>1500</v>
      </c>
    </row>
    <row r="20" spans="1:6" x14ac:dyDescent="0.25">
      <c r="A20" s="42">
        <v>6200</v>
      </c>
      <c r="B20" s="43" t="s">
        <v>24</v>
      </c>
      <c r="C20" s="90"/>
      <c r="D20" s="47"/>
      <c r="E20" s="65"/>
    </row>
    <row r="21" spans="1:6" ht="15.75" thickBot="1" x14ac:dyDescent="0.3">
      <c r="A21" s="325">
        <v>7200</v>
      </c>
      <c r="B21" s="191" t="s">
        <v>25</v>
      </c>
      <c r="C21" s="125"/>
      <c r="D21" s="56"/>
      <c r="E21" s="365"/>
    </row>
    <row r="22" spans="1:6" ht="15.75" thickBot="1" x14ac:dyDescent="0.3">
      <c r="A22" s="34"/>
      <c r="B22" s="107" t="s">
        <v>26</v>
      </c>
      <c r="C22" s="59">
        <f t="shared" ref="C22:E22" si="1">SUM(C7+C8+C9+C15+C16+C17+C18+C19+C20+C21)</f>
        <v>49069</v>
      </c>
      <c r="D22" s="59">
        <f t="shared" si="1"/>
        <v>42285</v>
      </c>
      <c r="E22" s="59">
        <f t="shared" si="1"/>
        <v>56045</v>
      </c>
      <c r="F22" s="136"/>
    </row>
    <row r="23" spans="1:6" x14ac:dyDescent="0.25">
      <c r="B23" s="32"/>
    </row>
    <row r="24" spans="1:6" x14ac:dyDescent="0.25">
      <c r="B24" s="32"/>
    </row>
    <row r="25" spans="1:6" x14ac:dyDescent="0.25">
      <c r="B25" s="103"/>
    </row>
    <row r="26" spans="1:6" x14ac:dyDescent="0.25">
      <c r="B26" s="5" t="s">
        <v>916</v>
      </c>
      <c r="C26" s="128"/>
      <c r="D26" s="128"/>
    </row>
    <row r="28" spans="1:6" x14ac:dyDescent="0.25">
      <c r="C28" s="192"/>
      <c r="D28" s="192"/>
    </row>
    <row r="29" spans="1:6" x14ac:dyDescent="0.25">
      <c r="B29" s="2"/>
      <c r="C29" s="136"/>
      <c r="D29" s="136"/>
    </row>
    <row r="30" spans="1:6" x14ac:dyDescent="0.25">
      <c r="B30" s="210"/>
      <c r="C30" s="209"/>
      <c r="D30" s="209"/>
    </row>
    <row r="31" spans="1:6" x14ac:dyDescent="0.25">
      <c r="B31" s="207"/>
      <c r="C31" s="438"/>
      <c r="D31" s="438"/>
    </row>
    <row r="32" spans="1:6" x14ac:dyDescent="0.25">
      <c r="B32" s="103"/>
      <c r="C32" s="208"/>
      <c r="D32" s="208"/>
    </row>
    <row r="33" spans="1:4" x14ac:dyDescent="0.25">
      <c r="B33" s="488"/>
      <c r="C33" s="192"/>
      <c r="D33" s="192"/>
    </row>
    <row r="34" spans="1:4" x14ac:dyDescent="0.25">
      <c r="A34" s="736"/>
    </row>
    <row r="35" spans="1:4" x14ac:dyDescent="0.25">
      <c r="A35" s="6"/>
    </row>
    <row r="36" spans="1:4" x14ac:dyDescent="0.25">
      <c r="A36" s="6"/>
    </row>
    <row r="37" spans="1:4" x14ac:dyDescent="0.25">
      <c r="A37" s="6"/>
    </row>
  </sheetData>
  <pageMargins left="0.7" right="0.7" top="0.75" bottom="0.75" header="0.3" footer="0.3"/>
  <pageSetup paperSize="9" scale="9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0"/>
  <sheetViews>
    <sheetView zoomScaleNormal="100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N3" sqref="N3"/>
    </sheetView>
  </sheetViews>
  <sheetFormatPr defaultColWidth="9.140625" defaultRowHeight="15" x14ac:dyDescent="0.25"/>
  <cols>
    <col min="1" max="1" width="6.85546875" style="1" customWidth="1"/>
    <col min="2" max="2" width="46.140625" style="1" customWidth="1"/>
    <col min="3" max="3" width="9.140625" style="1" customWidth="1"/>
    <col min="4" max="4" width="10.85546875" style="1" customWidth="1"/>
    <col min="5" max="5" width="12" style="1" customWidth="1"/>
    <col min="6" max="10" width="9.140625" style="1" customWidth="1"/>
    <col min="11" max="11" width="10" style="1" customWidth="1"/>
    <col min="12" max="21" width="9.85546875" style="1" customWidth="1"/>
    <col min="22" max="23" width="9.140625" style="4" customWidth="1"/>
    <col min="24" max="25" width="10.85546875" style="4" customWidth="1"/>
    <col min="26" max="26" width="8.85546875" style="4" customWidth="1"/>
    <col min="27" max="28" width="9.85546875" style="4" customWidth="1"/>
    <col min="29" max="29" width="8.5703125" style="4" customWidth="1"/>
    <col min="30" max="31" width="8.85546875" style="4" customWidth="1"/>
    <col min="32" max="33" width="9.140625" style="4" customWidth="1"/>
    <col min="34" max="34" width="8.42578125" style="4" customWidth="1"/>
    <col min="35" max="35" width="11.140625" style="4" customWidth="1"/>
    <col min="36" max="37" width="10.140625" style="4" customWidth="1"/>
    <col min="38" max="41" width="9.85546875" style="4" customWidth="1"/>
    <col min="42" max="42" width="8.85546875" style="4" customWidth="1"/>
    <col min="43" max="44" width="9.85546875" style="4" customWidth="1"/>
    <col min="45" max="45" width="8.85546875" style="4" customWidth="1"/>
    <col min="46" max="46" width="9.85546875" style="4" customWidth="1"/>
    <col min="47" max="47" width="8.42578125" style="4" customWidth="1"/>
    <col min="48" max="48" width="10.5703125" style="4" customWidth="1"/>
    <col min="49" max="50" width="9.85546875" style="1" customWidth="1"/>
    <col min="51" max="51" width="11.85546875" style="1" customWidth="1"/>
    <col min="52" max="16384" width="9.140625" style="1"/>
  </cols>
  <sheetData>
    <row r="1" spans="1:54" x14ac:dyDescent="0.25">
      <c r="AY1" s="2" t="s">
        <v>203</v>
      </c>
    </row>
    <row r="2" spans="1:54" x14ac:dyDescent="0.25">
      <c r="B2" s="2" t="s">
        <v>0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54" x14ac:dyDescent="0.25">
      <c r="B3" s="3" t="s">
        <v>92</v>
      </c>
    </row>
    <row r="4" spans="1:54" x14ac:dyDescent="0.25">
      <c r="A4" s="906" t="s">
        <v>92</v>
      </c>
      <c r="B4" s="906"/>
      <c r="C4" s="906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</row>
    <row r="5" spans="1:54" x14ac:dyDescent="0.25">
      <c r="B5" s="3" t="s">
        <v>714</v>
      </c>
      <c r="AA5" s="870"/>
      <c r="AB5" s="871"/>
    </row>
    <row r="6" spans="1:54" s="6" customFormat="1" x14ac:dyDescent="0.25">
      <c r="A6" s="187" t="s">
        <v>91</v>
      </c>
      <c r="C6" s="33" t="s">
        <v>61</v>
      </c>
      <c r="D6" s="33" t="s">
        <v>754</v>
      </c>
      <c r="E6" s="33" t="s">
        <v>374</v>
      </c>
      <c r="F6" s="33" t="s">
        <v>334</v>
      </c>
      <c r="G6" s="33" t="s">
        <v>275</v>
      </c>
      <c r="H6" s="33" t="s">
        <v>276</v>
      </c>
      <c r="I6" s="33" t="s">
        <v>270</v>
      </c>
      <c r="J6" s="33" t="s">
        <v>271</v>
      </c>
      <c r="K6" s="33" t="s">
        <v>272</v>
      </c>
      <c r="L6" s="33" t="s">
        <v>273</v>
      </c>
      <c r="M6" s="33" t="s">
        <v>274</v>
      </c>
      <c r="N6" s="6" t="s">
        <v>427</v>
      </c>
      <c r="O6" s="6" t="s">
        <v>413</v>
      </c>
      <c r="P6" s="6" t="s">
        <v>414</v>
      </c>
      <c r="Q6" s="6" t="s">
        <v>415</v>
      </c>
      <c r="R6" s="6" t="s">
        <v>416</v>
      </c>
      <c r="S6" s="6" t="s">
        <v>417</v>
      </c>
      <c r="T6" s="6" t="s">
        <v>418</v>
      </c>
      <c r="U6" s="6" t="s">
        <v>419</v>
      </c>
      <c r="V6" s="33" t="s">
        <v>62</v>
      </c>
      <c r="W6" s="6" t="s">
        <v>445</v>
      </c>
      <c r="X6" s="33" t="s">
        <v>277</v>
      </c>
      <c r="Y6" s="33" t="s">
        <v>278</v>
      </c>
      <c r="Z6" s="33" t="s">
        <v>279</v>
      </c>
      <c r="AA6" s="6" t="s">
        <v>824</v>
      </c>
      <c r="AB6" s="6" t="s">
        <v>825</v>
      </c>
      <c r="AC6" s="33" t="s">
        <v>280</v>
      </c>
      <c r="AD6" s="33" t="s">
        <v>281</v>
      </c>
      <c r="AE6" s="33" t="s">
        <v>282</v>
      </c>
      <c r="AF6" s="33" t="s">
        <v>283</v>
      </c>
      <c r="AG6" s="33" t="s">
        <v>284</v>
      </c>
      <c r="AH6" s="33" t="s">
        <v>285</v>
      </c>
      <c r="AI6" s="33" t="s">
        <v>611</v>
      </c>
      <c r="AJ6" s="33" t="s">
        <v>612</v>
      </c>
      <c r="AK6" s="33" t="s">
        <v>613</v>
      </c>
      <c r="AL6" s="6" t="s">
        <v>429</v>
      </c>
      <c r="AM6" s="6" t="s">
        <v>430</v>
      </c>
      <c r="AN6" s="6" t="s">
        <v>431</v>
      </c>
      <c r="AO6" s="6" t="s">
        <v>432</v>
      </c>
      <c r="AP6" s="6" t="s">
        <v>433</v>
      </c>
      <c r="AQ6" s="6" t="s">
        <v>434</v>
      </c>
      <c r="AR6" s="6" t="s">
        <v>435</v>
      </c>
      <c r="AS6" s="6" t="s">
        <v>436</v>
      </c>
      <c r="AT6" s="6" t="s">
        <v>578</v>
      </c>
      <c r="AU6" s="6" t="s">
        <v>579</v>
      </c>
      <c r="AV6" s="33" t="s">
        <v>124</v>
      </c>
      <c r="AW6" s="33" t="s">
        <v>63</v>
      </c>
      <c r="AX6" s="33" t="s">
        <v>743</v>
      </c>
      <c r="AY6" s="33" t="s">
        <v>175</v>
      </c>
      <c r="AZ6" s="33" t="s">
        <v>139</v>
      </c>
    </row>
    <row r="7" spans="1:54" s="5" customFormat="1" ht="90.75" thickBot="1" x14ac:dyDescent="0.3">
      <c r="B7" s="73"/>
      <c r="C7" s="5" t="s">
        <v>56</v>
      </c>
      <c r="D7" s="5" t="s">
        <v>755</v>
      </c>
      <c r="E7" s="5" t="s">
        <v>375</v>
      </c>
      <c r="F7" s="739" t="s">
        <v>914</v>
      </c>
      <c r="G7" s="739" t="s">
        <v>217</v>
      </c>
      <c r="H7" s="739" t="s">
        <v>241</v>
      </c>
      <c r="I7" s="739" t="s">
        <v>214</v>
      </c>
      <c r="J7" s="739" t="s">
        <v>215</v>
      </c>
      <c r="K7" s="739" t="s">
        <v>263</v>
      </c>
      <c r="L7" s="739" t="s">
        <v>264</v>
      </c>
      <c r="M7" s="739" t="s">
        <v>265</v>
      </c>
      <c r="N7" s="5" t="s">
        <v>428</v>
      </c>
      <c r="O7" s="5" t="s">
        <v>420</v>
      </c>
      <c r="P7" s="5" t="s">
        <v>421</v>
      </c>
      <c r="Q7" s="5" t="s">
        <v>422</v>
      </c>
      <c r="R7" s="5" t="s">
        <v>423</v>
      </c>
      <c r="S7" s="5" t="s">
        <v>424</v>
      </c>
      <c r="T7" s="5" t="s">
        <v>425</v>
      </c>
      <c r="U7" s="5" t="s">
        <v>426</v>
      </c>
      <c r="V7" s="642" t="s">
        <v>340</v>
      </c>
      <c r="W7" s="20" t="s">
        <v>446</v>
      </c>
      <c r="X7" s="739" t="s">
        <v>228</v>
      </c>
      <c r="Y7" s="739" t="s">
        <v>245</v>
      </c>
      <c r="Z7" s="739" t="s">
        <v>246</v>
      </c>
      <c r="AA7" s="5" t="s">
        <v>590</v>
      </c>
      <c r="AB7" s="5" t="s">
        <v>220</v>
      </c>
      <c r="AC7" s="739" t="s">
        <v>218</v>
      </c>
      <c r="AD7" s="739" t="s">
        <v>219</v>
      </c>
      <c r="AE7" s="301" t="s">
        <v>225</v>
      </c>
      <c r="AF7" s="301" t="s">
        <v>242</v>
      </c>
      <c r="AG7" s="739" t="s">
        <v>243</v>
      </c>
      <c r="AH7" s="739" t="s">
        <v>244</v>
      </c>
      <c r="AI7" s="301" t="s">
        <v>888</v>
      </c>
      <c r="AJ7" s="739" t="s">
        <v>682</v>
      </c>
      <c r="AK7" s="739" t="s">
        <v>614</v>
      </c>
      <c r="AL7" s="5" t="s">
        <v>437</v>
      </c>
      <c r="AM7" s="5" t="s">
        <v>438</v>
      </c>
      <c r="AN7" s="5" t="s">
        <v>439</v>
      </c>
      <c r="AO7" s="5" t="s">
        <v>440</v>
      </c>
      <c r="AP7" s="5" t="s">
        <v>441</v>
      </c>
      <c r="AQ7" s="5" t="s">
        <v>442</v>
      </c>
      <c r="AR7" s="5" t="s">
        <v>443</v>
      </c>
      <c r="AS7" s="5" t="s">
        <v>444</v>
      </c>
      <c r="AT7" s="5" t="s">
        <v>594</v>
      </c>
      <c r="AU7" s="5" t="s">
        <v>580</v>
      </c>
      <c r="AV7" s="739" t="s">
        <v>744</v>
      </c>
      <c r="AW7" s="5" t="s">
        <v>100</v>
      </c>
      <c r="AX7" s="5" t="s">
        <v>745</v>
      </c>
      <c r="AY7" s="5" t="s">
        <v>669</v>
      </c>
      <c r="AZ7" s="5" t="s">
        <v>101</v>
      </c>
    </row>
    <row r="8" spans="1:54" ht="35.25" customHeight="1" thickBot="1" x14ac:dyDescent="0.35">
      <c r="A8" s="70" t="s">
        <v>7</v>
      </c>
      <c r="B8" s="75" t="s">
        <v>10</v>
      </c>
      <c r="C8" s="36" t="s">
        <v>756</v>
      </c>
      <c r="D8" s="36" t="s">
        <v>756</v>
      </c>
      <c r="E8" s="36" t="s">
        <v>756</v>
      </c>
      <c r="F8" s="36" t="s">
        <v>756</v>
      </c>
      <c r="G8" s="36" t="s">
        <v>756</v>
      </c>
      <c r="H8" s="36" t="s">
        <v>756</v>
      </c>
      <c r="I8" s="36" t="s">
        <v>756</v>
      </c>
      <c r="J8" s="36" t="s">
        <v>756</v>
      </c>
      <c r="K8" s="36" t="s">
        <v>756</v>
      </c>
      <c r="L8" s="36" t="s">
        <v>756</v>
      </c>
      <c r="M8" s="36" t="s">
        <v>756</v>
      </c>
      <c r="N8" s="36" t="s">
        <v>756</v>
      </c>
      <c r="O8" s="36" t="s">
        <v>756</v>
      </c>
      <c r="P8" s="36" t="s">
        <v>756</v>
      </c>
      <c r="Q8" s="36" t="s">
        <v>756</v>
      </c>
      <c r="R8" s="36" t="s">
        <v>756</v>
      </c>
      <c r="S8" s="36" t="s">
        <v>756</v>
      </c>
      <c r="T8" s="36" t="s">
        <v>756</v>
      </c>
      <c r="U8" s="36" t="s">
        <v>756</v>
      </c>
      <c r="V8" s="36" t="s">
        <v>756</v>
      </c>
      <c r="W8" s="36" t="s">
        <v>756</v>
      </c>
      <c r="X8" s="36" t="s">
        <v>756</v>
      </c>
      <c r="Y8" s="36" t="s">
        <v>756</v>
      </c>
      <c r="Z8" s="36" t="s">
        <v>756</v>
      </c>
      <c r="AA8" s="36" t="s">
        <v>756</v>
      </c>
      <c r="AB8" s="36" t="s">
        <v>756</v>
      </c>
      <c r="AC8" s="36" t="s">
        <v>756</v>
      </c>
      <c r="AD8" s="36" t="s">
        <v>756</v>
      </c>
      <c r="AE8" s="36" t="s">
        <v>756</v>
      </c>
      <c r="AF8" s="36" t="s">
        <v>756</v>
      </c>
      <c r="AG8" s="36" t="s">
        <v>756</v>
      </c>
      <c r="AH8" s="36" t="s">
        <v>756</v>
      </c>
      <c r="AI8" s="36" t="s">
        <v>756</v>
      </c>
      <c r="AJ8" s="36" t="s">
        <v>756</v>
      </c>
      <c r="AK8" s="36" t="s">
        <v>756</v>
      </c>
      <c r="AL8" s="36" t="s">
        <v>756</v>
      </c>
      <c r="AM8" s="36" t="s">
        <v>756</v>
      </c>
      <c r="AN8" s="36" t="s">
        <v>756</v>
      </c>
      <c r="AO8" s="36" t="s">
        <v>756</v>
      </c>
      <c r="AP8" s="36" t="s">
        <v>756</v>
      </c>
      <c r="AQ8" s="36" t="s">
        <v>756</v>
      </c>
      <c r="AR8" s="36" t="s">
        <v>756</v>
      </c>
      <c r="AS8" s="36" t="s">
        <v>756</v>
      </c>
      <c r="AT8" s="36" t="s">
        <v>756</v>
      </c>
      <c r="AU8" s="36" t="s">
        <v>756</v>
      </c>
      <c r="AV8" s="36" t="s">
        <v>756</v>
      </c>
      <c r="AW8" s="36" t="s">
        <v>756</v>
      </c>
      <c r="AX8" s="36" t="s">
        <v>756</v>
      </c>
      <c r="AY8" s="36" t="s">
        <v>756</v>
      </c>
      <c r="AZ8" s="36" t="s">
        <v>756</v>
      </c>
    </row>
    <row r="9" spans="1:54" x14ac:dyDescent="0.25">
      <c r="A9" s="101">
        <v>1100</v>
      </c>
      <c r="B9" s="97" t="s">
        <v>11</v>
      </c>
      <c r="C9" s="110"/>
      <c r="D9" s="125"/>
      <c r="E9" s="125"/>
      <c r="F9" s="79">
        <f>440786+1200</f>
        <v>441986</v>
      </c>
      <c r="G9" s="190">
        <v>89764</v>
      </c>
      <c r="H9" s="821">
        <v>14648</v>
      </c>
      <c r="I9" s="367">
        <v>98440</v>
      </c>
      <c r="J9" s="190">
        <f>13624+150</f>
        <v>13774</v>
      </c>
      <c r="K9" s="190">
        <v>13825</v>
      </c>
      <c r="L9" s="367">
        <v>27158</v>
      </c>
      <c r="M9" s="190">
        <v>103147</v>
      </c>
      <c r="N9" s="423">
        <v>26567</v>
      </c>
      <c r="O9" s="329">
        <v>30017</v>
      </c>
      <c r="P9" s="329">
        <v>13079</v>
      </c>
      <c r="Q9" s="329">
        <v>31421</v>
      </c>
      <c r="R9" s="329">
        <v>9396</v>
      </c>
      <c r="S9" s="329">
        <v>12609</v>
      </c>
      <c r="T9" s="329">
        <v>13424</v>
      </c>
      <c r="U9" s="329">
        <v>13424</v>
      </c>
      <c r="V9" s="497">
        <v>350582</v>
      </c>
      <c r="W9" s="41">
        <v>4399</v>
      </c>
      <c r="X9" s="125">
        <f>73693+200</f>
        <v>73893</v>
      </c>
      <c r="Y9" s="125">
        <v>13515</v>
      </c>
      <c r="Z9" s="125">
        <v>20659</v>
      </c>
      <c r="AA9" s="64">
        <v>12569</v>
      </c>
      <c r="AB9" s="764">
        <v>22725</v>
      </c>
      <c r="AC9" s="3">
        <v>226009</v>
      </c>
      <c r="AD9" s="125">
        <f>101376+1800</f>
        <v>103176</v>
      </c>
      <c r="AE9" s="125">
        <v>105837</v>
      </c>
      <c r="AF9" s="125">
        <v>74942</v>
      </c>
      <c r="AG9" s="125">
        <v>31733</v>
      </c>
      <c r="AH9" s="125">
        <v>51501</v>
      </c>
      <c r="AI9" s="125">
        <v>283384</v>
      </c>
      <c r="AJ9" s="190">
        <f>104164+3000</f>
        <v>107164</v>
      </c>
      <c r="AK9" s="190">
        <f>46163+300</f>
        <v>46463</v>
      </c>
      <c r="AL9" s="326">
        <v>119323</v>
      </c>
      <c r="AM9" s="79">
        <v>58773</v>
      </c>
      <c r="AN9" s="326">
        <v>79902</v>
      </c>
      <c r="AO9" s="79">
        <f>113003-1000</f>
        <v>112003</v>
      </c>
      <c r="AP9" s="326">
        <v>7874</v>
      </c>
      <c r="AQ9" s="79">
        <v>18335</v>
      </c>
      <c r="AR9" s="326">
        <v>29812</v>
      </c>
      <c r="AS9" s="79">
        <v>38210</v>
      </c>
      <c r="AT9" s="124">
        <v>151808</v>
      </c>
      <c r="AU9" s="124">
        <v>98602</v>
      </c>
      <c r="AV9" s="124">
        <v>1000</v>
      </c>
      <c r="AW9" s="250">
        <f>4780</f>
        <v>4780</v>
      </c>
      <c r="AX9" s="105">
        <f>14100-4000</f>
        <v>10100</v>
      </c>
      <c r="AY9" s="672"/>
      <c r="AZ9" s="366">
        <v>5500</v>
      </c>
    </row>
    <row r="10" spans="1:54" ht="45" x14ac:dyDescent="0.25">
      <c r="A10" s="42">
        <v>1200</v>
      </c>
      <c r="B10" s="43" t="s">
        <v>12</v>
      </c>
      <c r="C10" s="44"/>
      <c r="D10" s="44"/>
      <c r="E10" s="44"/>
      <c r="F10" s="44">
        <v>131167</v>
      </c>
      <c r="G10" s="44">
        <v>26950</v>
      </c>
      <c r="H10" s="647">
        <v>4351</v>
      </c>
      <c r="I10" s="251">
        <v>29419</v>
      </c>
      <c r="J10" s="44">
        <v>4261</v>
      </c>
      <c r="K10" s="44">
        <v>4331</v>
      </c>
      <c r="L10" s="251">
        <v>8817</v>
      </c>
      <c r="M10" s="44">
        <v>31070</v>
      </c>
      <c r="N10" s="402">
        <v>8151</v>
      </c>
      <c r="O10" s="52">
        <v>9120</v>
      </c>
      <c r="P10" s="52">
        <v>4049</v>
      </c>
      <c r="Q10" s="52">
        <v>9096</v>
      </c>
      <c r="R10" s="52">
        <v>2907</v>
      </c>
      <c r="S10" s="52">
        <v>3918</v>
      </c>
      <c r="T10" s="52">
        <v>4014</v>
      </c>
      <c r="U10" s="52">
        <v>4014</v>
      </c>
      <c r="V10" s="498">
        <v>108888</v>
      </c>
      <c r="W10" s="52">
        <v>1208</v>
      </c>
      <c r="X10" s="44">
        <v>22630</v>
      </c>
      <c r="Y10" s="44">
        <v>4220</v>
      </c>
      <c r="Z10" s="44">
        <v>5687</v>
      </c>
      <c r="AA10" s="65">
        <v>3779</v>
      </c>
      <c r="AB10" s="54">
        <v>6492</v>
      </c>
      <c r="AC10" s="251">
        <v>67635</v>
      </c>
      <c r="AD10" s="44">
        <v>30163</v>
      </c>
      <c r="AE10" s="44">
        <v>32040</v>
      </c>
      <c r="AF10" s="44">
        <v>28887</v>
      </c>
      <c r="AG10" s="44">
        <v>9838</v>
      </c>
      <c r="AH10" s="44">
        <v>15642</v>
      </c>
      <c r="AI10" s="44">
        <v>83764</v>
      </c>
      <c r="AJ10" s="44">
        <v>33118</v>
      </c>
      <c r="AK10" s="44">
        <v>14650</v>
      </c>
      <c r="AL10" s="85">
        <v>36900</v>
      </c>
      <c r="AM10" s="65">
        <v>17521</v>
      </c>
      <c r="AN10" s="85">
        <v>22992</v>
      </c>
      <c r="AO10" s="65">
        <v>33229</v>
      </c>
      <c r="AP10" s="85">
        <v>2411</v>
      </c>
      <c r="AQ10" s="65">
        <v>5540</v>
      </c>
      <c r="AR10" s="85">
        <v>8907</v>
      </c>
      <c r="AS10" s="65">
        <v>12188</v>
      </c>
      <c r="AT10" s="90">
        <v>44126</v>
      </c>
      <c r="AU10" s="90">
        <v>29494</v>
      </c>
      <c r="AV10" s="84"/>
      <c r="AW10" s="85"/>
      <c r="AX10" s="65"/>
      <c r="AY10" s="65"/>
      <c r="AZ10" s="44"/>
    </row>
    <row r="11" spans="1:54" x14ac:dyDescent="0.25">
      <c r="A11" s="42">
        <v>2000</v>
      </c>
      <c r="B11" s="47" t="s">
        <v>13</v>
      </c>
      <c r="C11" s="65">
        <f>SUM(C12:C16)</f>
        <v>138572</v>
      </c>
      <c r="D11" s="65">
        <f>SUM(D12:D16)</f>
        <v>98597</v>
      </c>
      <c r="E11" s="65">
        <f>SUM(E12:E16)</f>
        <v>95622</v>
      </c>
      <c r="F11" s="65">
        <f t="shared" ref="F11:AZ11" si="0">SUM(F12:F16)</f>
        <v>260937</v>
      </c>
      <c r="G11" s="65">
        <f>SUM(G12:G16)</f>
        <v>18671</v>
      </c>
      <c r="H11" s="65">
        <f>SUM(H12:H16)</f>
        <v>4370</v>
      </c>
      <c r="I11" s="85">
        <f>SUM(I12:I16)</f>
        <v>35562</v>
      </c>
      <c r="J11" s="65">
        <f t="shared" si="0"/>
        <v>13836</v>
      </c>
      <c r="K11" s="65">
        <f>SUM(K12:K16)</f>
        <v>3564</v>
      </c>
      <c r="L11" s="85">
        <f t="shared" si="0"/>
        <v>3415</v>
      </c>
      <c r="M11" s="65">
        <f t="shared" si="0"/>
        <v>17443</v>
      </c>
      <c r="N11" s="402">
        <f t="shared" si="0"/>
        <v>7510</v>
      </c>
      <c r="O11" s="52">
        <f t="shared" si="0"/>
        <v>4661</v>
      </c>
      <c r="P11" s="52">
        <f t="shared" si="0"/>
        <v>3102</v>
      </c>
      <c r="Q11" s="52">
        <f t="shared" si="0"/>
        <v>6645</v>
      </c>
      <c r="R11" s="52">
        <f t="shared" si="0"/>
        <v>6730</v>
      </c>
      <c r="S11" s="52">
        <f t="shared" si="0"/>
        <v>6239</v>
      </c>
      <c r="T11" s="52">
        <f t="shared" si="0"/>
        <v>9956</v>
      </c>
      <c r="U11" s="52">
        <f t="shared" si="0"/>
        <v>2700</v>
      </c>
      <c r="V11" s="473">
        <f t="shared" si="0"/>
        <v>191802</v>
      </c>
      <c r="W11" s="52">
        <f t="shared" si="0"/>
        <v>11595</v>
      </c>
      <c r="X11" s="65">
        <f t="shared" si="0"/>
        <v>34938</v>
      </c>
      <c r="Y11" s="65">
        <f t="shared" si="0"/>
        <v>8920</v>
      </c>
      <c r="Z11" s="65">
        <f t="shared" si="0"/>
        <v>13347</v>
      </c>
      <c r="AA11" s="65">
        <f t="shared" si="0"/>
        <v>9286</v>
      </c>
      <c r="AB11" s="65">
        <f t="shared" si="0"/>
        <v>11720</v>
      </c>
      <c r="AC11" s="90">
        <f t="shared" si="0"/>
        <v>174210</v>
      </c>
      <c r="AD11" s="65">
        <f t="shared" si="0"/>
        <v>70080</v>
      </c>
      <c r="AE11" s="65">
        <f t="shared" si="0"/>
        <v>151121</v>
      </c>
      <c r="AF11" s="65">
        <f t="shared" si="0"/>
        <v>63930</v>
      </c>
      <c r="AG11" s="65">
        <f t="shared" si="0"/>
        <v>24282</v>
      </c>
      <c r="AH11" s="65">
        <f t="shared" si="0"/>
        <v>37480</v>
      </c>
      <c r="AI11" s="65">
        <f t="shared" si="0"/>
        <v>253333</v>
      </c>
      <c r="AJ11" s="65">
        <f t="shared" si="0"/>
        <v>71285</v>
      </c>
      <c r="AK11" s="65">
        <f t="shared" si="0"/>
        <v>25930</v>
      </c>
      <c r="AL11" s="85">
        <f t="shared" si="0"/>
        <v>79755</v>
      </c>
      <c r="AM11" s="65">
        <f t="shared" si="0"/>
        <v>46890</v>
      </c>
      <c r="AN11" s="85">
        <f t="shared" si="0"/>
        <v>70041</v>
      </c>
      <c r="AO11" s="65">
        <f t="shared" si="0"/>
        <v>74506</v>
      </c>
      <c r="AP11" s="85">
        <f t="shared" si="0"/>
        <v>11575</v>
      </c>
      <c r="AQ11" s="65">
        <f t="shared" si="0"/>
        <v>17365</v>
      </c>
      <c r="AR11" s="85">
        <f t="shared" si="0"/>
        <v>29495</v>
      </c>
      <c r="AS11" s="65">
        <f t="shared" si="0"/>
        <v>68040</v>
      </c>
      <c r="AT11" s="65">
        <f t="shared" si="0"/>
        <v>31928</v>
      </c>
      <c r="AU11" s="65">
        <f t="shared" si="0"/>
        <v>24050</v>
      </c>
      <c r="AV11" s="90">
        <f t="shared" si="0"/>
        <v>67155</v>
      </c>
      <c r="AW11" s="85">
        <f t="shared" si="0"/>
        <v>289616</v>
      </c>
      <c r="AX11" s="65">
        <f t="shared" si="0"/>
        <v>110730</v>
      </c>
      <c r="AY11" s="65">
        <f t="shared" si="0"/>
        <v>68475</v>
      </c>
      <c r="AZ11" s="65">
        <f t="shared" si="0"/>
        <v>276478</v>
      </c>
    </row>
    <row r="12" spans="1:54" x14ac:dyDescent="0.25">
      <c r="A12" s="42">
        <v>2100</v>
      </c>
      <c r="B12" s="47" t="s">
        <v>14</v>
      </c>
      <c r="C12" s="88"/>
      <c r="D12" s="88"/>
      <c r="E12" s="88"/>
      <c r="F12" s="65">
        <v>7376</v>
      </c>
      <c r="G12" s="65"/>
      <c r="H12" s="65">
        <f>14</f>
        <v>14</v>
      </c>
      <c r="I12" s="85">
        <v>30</v>
      </c>
      <c r="J12" s="65">
        <v>20</v>
      </c>
      <c r="K12" s="65">
        <v>30</v>
      </c>
      <c r="L12" s="85">
        <v>80</v>
      </c>
      <c r="M12" s="65">
        <v>56</v>
      </c>
      <c r="N12" s="402">
        <v>30</v>
      </c>
      <c r="O12" s="52">
        <v>85</v>
      </c>
      <c r="P12" s="52">
        <f>152-152</f>
        <v>0</v>
      </c>
      <c r="Q12" s="52"/>
      <c r="R12" s="52"/>
      <c r="S12" s="52">
        <v>50</v>
      </c>
      <c r="T12" s="52"/>
      <c r="U12" s="52"/>
      <c r="V12" s="643">
        <f>480+235</f>
        <v>715</v>
      </c>
      <c r="W12" s="52"/>
      <c r="X12" s="65">
        <v>50</v>
      </c>
      <c r="Y12" s="65">
        <v>20</v>
      </c>
      <c r="Z12" s="65"/>
      <c r="AA12" s="65">
        <v>170</v>
      </c>
      <c r="AB12" s="87"/>
      <c r="AC12" s="85">
        <f>200+220</f>
        <v>420</v>
      </c>
      <c r="AD12" s="65"/>
      <c r="AE12" s="65">
        <v>148</v>
      </c>
      <c r="AF12" s="65"/>
      <c r="AG12" s="65"/>
      <c r="AH12" s="65">
        <v>200</v>
      </c>
      <c r="AI12" s="65"/>
      <c r="AJ12" s="65"/>
      <c r="AK12" s="65"/>
      <c r="AL12" s="85"/>
      <c r="AM12" s="65"/>
      <c r="AN12" s="85"/>
      <c r="AO12" s="65"/>
      <c r="AP12" s="85"/>
      <c r="AQ12" s="65"/>
      <c r="AR12" s="85">
        <v>130</v>
      </c>
      <c r="AS12" s="65"/>
      <c r="AT12" s="90">
        <v>150</v>
      </c>
      <c r="AU12" s="90">
        <v>500</v>
      </c>
      <c r="AV12" s="90"/>
      <c r="AW12" s="85"/>
      <c r="AX12" s="65"/>
      <c r="AY12" s="65"/>
      <c r="AZ12" s="65"/>
    </row>
    <row r="13" spans="1:54" x14ac:dyDescent="0.25">
      <c r="A13" s="42">
        <v>2200</v>
      </c>
      <c r="B13" s="47" t="s">
        <v>15</v>
      </c>
      <c r="C13" s="65">
        <v>107957</v>
      </c>
      <c r="D13" s="65">
        <f>120547-43750</f>
        <v>76797</v>
      </c>
      <c r="E13" s="65">
        <v>63351</v>
      </c>
      <c r="F13" s="65">
        <f>219325+600</f>
        <v>219925</v>
      </c>
      <c r="G13" s="65">
        <v>7249</v>
      </c>
      <c r="H13" s="65">
        <v>1770</v>
      </c>
      <c r="I13" s="85">
        <f>25238-45</f>
        <v>25193</v>
      </c>
      <c r="J13" s="65">
        <f>11784-150</f>
        <v>11634</v>
      </c>
      <c r="K13" s="65">
        <v>1190</v>
      </c>
      <c r="L13" s="85">
        <v>1380</v>
      </c>
      <c r="M13" s="65">
        <v>11192</v>
      </c>
      <c r="N13" s="402">
        <v>4580</v>
      </c>
      <c r="O13" s="52">
        <v>1126</v>
      </c>
      <c r="P13" s="52">
        <f>1532-360</f>
        <v>1172</v>
      </c>
      <c r="Q13" s="52">
        <v>3902</v>
      </c>
      <c r="R13" s="52">
        <v>2510</v>
      </c>
      <c r="S13" s="52">
        <v>2129</v>
      </c>
      <c r="T13" s="52">
        <v>6476</v>
      </c>
      <c r="U13" s="52">
        <v>400</v>
      </c>
      <c r="V13" s="643">
        <f>145665-235</f>
        <v>145430</v>
      </c>
      <c r="W13" s="52">
        <v>9175</v>
      </c>
      <c r="X13" s="65">
        <f>27518-200</f>
        <v>27318</v>
      </c>
      <c r="Y13" s="65">
        <f>7300+600</f>
        <v>7900</v>
      </c>
      <c r="Z13" s="65">
        <v>9085</v>
      </c>
      <c r="AA13" s="65">
        <v>5593</v>
      </c>
      <c r="AB13" s="54">
        <f>8370-800</f>
        <v>7570</v>
      </c>
      <c r="AC13" s="85">
        <f>142700-220</f>
        <v>142480</v>
      </c>
      <c r="AD13" s="65">
        <f>54130-1800</f>
        <v>52330</v>
      </c>
      <c r="AE13" s="65">
        <v>117300</v>
      </c>
      <c r="AF13" s="65">
        <v>54370</v>
      </c>
      <c r="AG13" s="65">
        <f>14600+300</f>
        <v>14900</v>
      </c>
      <c r="AH13" s="65">
        <f>26120+500</f>
        <v>26620</v>
      </c>
      <c r="AI13" s="65">
        <f>194956+17350+4000</f>
        <v>216306</v>
      </c>
      <c r="AJ13" s="65">
        <f>64946-3000</f>
        <v>61946</v>
      </c>
      <c r="AK13" s="65">
        <v>22310</v>
      </c>
      <c r="AL13" s="85">
        <f>58830-500</f>
        <v>58330</v>
      </c>
      <c r="AM13" s="65">
        <v>40560</v>
      </c>
      <c r="AN13" s="85">
        <f>56547-500</f>
        <v>56047</v>
      </c>
      <c r="AO13" s="65">
        <f>49986+4200</f>
        <v>54186</v>
      </c>
      <c r="AP13" s="85">
        <v>7645</v>
      </c>
      <c r="AQ13" s="65">
        <v>9640</v>
      </c>
      <c r="AR13" s="85">
        <v>23660</v>
      </c>
      <c r="AS13" s="65">
        <v>52090</v>
      </c>
      <c r="AT13" s="90">
        <f>14700+10478</f>
        <v>25178</v>
      </c>
      <c r="AU13" s="90">
        <f>12150+1000</f>
        <v>13150</v>
      </c>
      <c r="AV13" s="90">
        <f>31000+7827</f>
        <v>38827</v>
      </c>
      <c r="AW13" s="85">
        <f>10987+8470+11979+6050+12046+6050+12088+3291+12039+9680+11979+11979+121000-5001</f>
        <v>232637</v>
      </c>
      <c r="AX13" s="65">
        <f>55680+4000</f>
        <v>59680</v>
      </c>
      <c r="AY13" s="65">
        <v>68475</v>
      </c>
      <c r="AZ13" s="65">
        <v>276478</v>
      </c>
    </row>
    <row r="14" spans="1:54" s="7" customFormat="1" ht="30" x14ac:dyDescent="0.25">
      <c r="A14" s="42">
        <v>2300</v>
      </c>
      <c r="B14" s="43" t="s">
        <v>16</v>
      </c>
      <c r="C14" s="65">
        <v>30615</v>
      </c>
      <c r="D14" s="65">
        <v>21800</v>
      </c>
      <c r="E14" s="65">
        <v>28271</v>
      </c>
      <c r="F14" s="65">
        <v>25712</v>
      </c>
      <c r="G14" s="65">
        <v>9382</v>
      </c>
      <c r="H14" s="65">
        <f>800-14</f>
        <v>786</v>
      </c>
      <c r="I14" s="85">
        <v>6854</v>
      </c>
      <c r="J14" s="65">
        <v>1270</v>
      </c>
      <c r="K14" s="65">
        <v>767</v>
      </c>
      <c r="L14" s="85">
        <v>670</v>
      </c>
      <c r="M14" s="65">
        <f>3779-254</f>
        <v>3525</v>
      </c>
      <c r="N14" s="402">
        <v>1600</v>
      </c>
      <c r="O14" s="52">
        <v>2800</v>
      </c>
      <c r="P14" s="52">
        <f>2030-1000</f>
        <v>1030</v>
      </c>
      <c r="Q14" s="52">
        <v>1233</v>
      </c>
      <c r="R14" s="52">
        <v>2820</v>
      </c>
      <c r="S14" s="52">
        <v>2960</v>
      </c>
      <c r="T14" s="52">
        <v>2080</v>
      </c>
      <c r="U14" s="52">
        <v>1100</v>
      </c>
      <c r="V14" s="643">
        <v>45607</v>
      </c>
      <c r="W14" s="52">
        <v>2420</v>
      </c>
      <c r="X14" s="65">
        <v>7270</v>
      </c>
      <c r="Y14" s="65">
        <f>1600-600</f>
        <v>1000</v>
      </c>
      <c r="Z14" s="65">
        <v>4262</v>
      </c>
      <c r="AA14" s="65">
        <v>3523</v>
      </c>
      <c r="AB14" s="87">
        <f>2950+1200</f>
        <v>4150</v>
      </c>
      <c r="AC14" s="85">
        <f>25810+5000</f>
        <v>30810</v>
      </c>
      <c r="AD14" s="65">
        <f>17850-800</f>
        <v>17050</v>
      </c>
      <c r="AE14" s="65">
        <v>33073</v>
      </c>
      <c r="AF14" s="65">
        <v>8860</v>
      </c>
      <c r="AG14" s="65">
        <f>9612-450</f>
        <v>9162</v>
      </c>
      <c r="AH14" s="65">
        <f>10460-500</f>
        <v>9960</v>
      </c>
      <c r="AI14" s="65">
        <v>34277</v>
      </c>
      <c r="AJ14" s="65">
        <v>8058</v>
      </c>
      <c r="AK14" s="65">
        <v>3570</v>
      </c>
      <c r="AL14" s="85">
        <v>20775</v>
      </c>
      <c r="AM14" s="65">
        <v>6265</v>
      </c>
      <c r="AN14" s="85">
        <f>14747-943</f>
        <v>13804</v>
      </c>
      <c r="AO14" s="65">
        <f>23450-3200</f>
        <v>20250</v>
      </c>
      <c r="AP14" s="85">
        <f>3930-10</f>
        <v>3920</v>
      </c>
      <c r="AQ14" s="65">
        <v>7725</v>
      </c>
      <c r="AR14" s="85">
        <v>5650</v>
      </c>
      <c r="AS14" s="65">
        <v>15950</v>
      </c>
      <c r="AT14" s="90">
        <f>16600-10000</f>
        <v>6600</v>
      </c>
      <c r="AU14" s="90">
        <v>10200</v>
      </c>
      <c r="AV14" s="90">
        <v>28300</v>
      </c>
      <c r="AW14" s="85">
        <f>3630+18150+12100+4659+1742+11858+4840</f>
        <v>56979</v>
      </c>
      <c r="AX14" s="65">
        <v>51050</v>
      </c>
      <c r="AY14" s="65"/>
      <c r="AZ14" s="65"/>
      <c r="BA14" s="1"/>
      <c r="BB14" s="1"/>
    </row>
    <row r="15" spans="1:54" x14ac:dyDescent="0.25">
      <c r="A15" s="42">
        <v>2400</v>
      </c>
      <c r="B15" s="50" t="s">
        <v>46</v>
      </c>
      <c r="C15" s="88"/>
      <c r="D15" s="88"/>
      <c r="E15" s="88"/>
      <c r="F15" s="65">
        <v>4800</v>
      </c>
      <c r="G15" s="65">
        <v>1800</v>
      </c>
      <c r="H15" s="65">
        <v>1800</v>
      </c>
      <c r="I15" s="85">
        <v>3440</v>
      </c>
      <c r="J15" s="65">
        <v>900</v>
      </c>
      <c r="K15" s="65">
        <v>1567</v>
      </c>
      <c r="L15" s="85">
        <v>1250</v>
      </c>
      <c r="M15" s="65">
        <v>2530</v>
      </c>
      <c r="N15" s="402">
        <v>1300</v>
      </c>
      <c r="O15" s="52">
        <v>650</v>
      </c>
      <c r="P15" s="52">
        <v>900</v>
      </c>
      <c r="Q15" s="52">
        <v>1500</v>
      </c>
      <c r="R15" s="52">
        <v>1400</v>
      </c>
      <c r="S15" s="52">
        <v>1100</v>
      </c>
      <c r="T15" s="52">
        <v>1400</v>
      </c>
      <c r="U15" s="52">
        <v>1200</v>
      </c>
      <c r="V15" s="643"/>
      <c r="W15" s="12"/>
      <c r="X15" s="65"/>
      <c r="Y15" s="65"/>
      <c r="Z15" s="65"/>
      <c r="AA15" s="113"/>
      <c r="AB15" s="87"/>
      <c r="AC15" s="85"/>
      <c r="AD15" s="65"/>
      <c r="AE15" s="65"/>
      <c r="AF15" s="65"/>
      <c r="AG15" s="65"/>
      <c r="AH15" s="65"/>
      <c r="AI15" s="65"/>
      <c r="AJ15" s="65"/>
      <c r="AK15" s="65"/>
      <c r="AL15" s="85"/>
      <c r="AM15" s="65"/>
      <c r="AN15" s="85"/>
      <c r="AO15" s="65"/>
      <c r="AP15" s="85"/>
      <c r="AQ15" s="65"/>
      <c r="AR15" s="85"/>
      <c r="AS15" s="65"/>
      <c r="AT15" s="90"/>
      <c r="AU15" s="90"/>
      <c r="AV15" s="90"/>
      <c r="AW15" s="85"/>
      <c r="AX15" s="65"/>
      <c r="AY15" s="65"/>
      <c r="AZ15" s="65"/>
    </row>
    <row r="16" spans="1:54" x14ac:dyDescent="0.25">
      <c r="A16" s="42">
        <v>2500</v>
      </c>
      <c r="B16" s="47" t="s">
        <v>17</v>
      </c>
      <c r="C16" s="88"/>
      <c r="D16" s="88"/>
      <c r="E16" s="88">
        <v>4000</v>
      </c>
      <c r="F16" s="65">
        <v>3124</v>
      </c>
      <c r="G16" s="65">
        <v>240</v>
      </c>
      <c r="H16" s="65"/>
      <c r="I16" s="85">
        <f>45</f>
        <v>45</v>
      </c>
      <c r="J16" s="65">
        <v>12</v>
      </c>
      <c r="K16" s="65">
        <v>10</v>
      </c>
      <c r="L16" s="85">
        <v>35</v>
      </c>
      <c r="M16" s="65">
        <v>140</v>
      </c>
      <c r="N16" s="402"/>
      <c r="O16" s="52"/>
      <c r="P16" s="52"/>
      <c r="Q16" s="52">
        <v>10</v>
      </c>
      <c r="R16" s="52"/>
      <c r="S16" s="52"/>
      <c r="T16" s="52"/>
      <c r="U16" s="52"/>
      <c r="V16" s="643">
        <v>50</v>
      </c>
      <c r="W16" s="12"/>
      <c r="X16" s="65">
        <v>300</v>
      </c>
      <c r="Y16" s="252"/>
      <c r="Z16" s="252"/>
      <c r="AA16" s="113"/>
      <c r="AB16" s="90"/>
      <c r="AC16" s="85">
        <v>500</v>
      </c>
      <c r="AD16" s="65">
        <v>700</v>
      </c>
      <c r="AE16" s="65">
        <v>600</v>
      </c>
      <c r="AF16" s="65">
        <v>700</v>
      </c>
      <c r="AG16" s="65">
        <f>70+150</f>
        <v>220</v>
      </c>
      <c r="AH16" s="65">
        <v>700</v>
      </c>
      <c r="AI16" s="65">
        <v>2750</v>
      </c>
      <c r="AJ16" s="65">
        <v>1281</v>
      </c>
      <c r="AK16" s="65">
        <v>50</v>
      </c>
      <c r="AL16" s="85">
        <f>150+500</f>
        <v>650</v>
      </c>
      <c r="AM16" s="65">
        <v>65</v>
      </c>
      <c r="AN16" s="85">
        <v>190</v>
      </c>
      <c r="AO16" s="65">
        <v>70</v>
      </c>
      <c r="AP16" s="85">
        <v>10</v>
      </c>
      <c r="AQ16" s="65"/>
      <c r="AR16" s="85">
        <v>55</v>
      </c>
      <c r="AS16" s="65"/>
      <c r="AT16" s="90"/>
      <c r="AU16" s="90">
        <v>200</v>
      </c>
      <c r="AV16" s="90">
        <v>28</v>
      </c>
      <c r="AW16" s="85"/>
      <c r="AX16" s="65"/>
      <c r="AY16" s="65"/>
      <c r="AZ16" s="65"/>
    </row>
    <row r="17" spans="1:52" x14ac:dyDescent="0.25">
      <c r="A17" s="42">
        <v>3200</v>
      </c>
      <c r="B17" s="47" t="s">
        <v>18</v>
      </c>
      <c r="C17" s="65">
        <v>58850</v>
      </c>
      <c r="D17" s="65">
        <f>743440+43750</f>
        <v>787190</v>
      </c>
      <c r="E17" s="65"/>
      <c r="F17" s="65"/>
      <c r="G17" s="65"/>
      <c r="H17" s="65"/>
      <c r="I17" s="85"/>
      <c r="J17" s="65"/>
      <c r="K17" s="65"/>
      <c r="L17" s="85"/>
      <c r="M17" s="65"/>
      <c r="N17" s="402"/>
      <c r="O17" s="52"/>
      <c r="P17" s="52"/>
      <c r="Q17" s="52"/>
      <c r="R17" s="52"/>
      <c r="S17" s="52"/>
      <c r="T17" s="52"/>
      <c r="U17" s="52"/>
      <c r="V17" s="643"/>
      <c r="W17" s="12"/>
      <c r="X17" s="65"/>
      <c r="Y17" s="65"/>
      <c r="Z17" s="65"/>
      <c r="AA17" s="113"/>
      <c r="AB17" s="90"/>
      <c r="AC17" s="85"/>
      <c r="AD17" s="65"/>
      <c r="AE17" s="65"/>
      <c r="AF17" s="65"/>
      <c r="AG17" s="65"/>
      <c r="AH17" s="65"/>
      <c r="AI17" s="65"/>
      <c r="AJ17" s="65"/>
      <c r="AK17" s="65"/>
      <c r="AL17" s="85"/>
      <c r="AM17" s="65"/>
      <c r="AN17" s="85"/>
      <c r="AO17" s="65"/>
      <c r="AP17" s="85"/>
      <c r="AQ17" s="65"/>
      <c r="AR17" s="85"/>
      <c r="AS17" s="65"/>
      <c r="AT17" s="90"/>
      <c r="AU17" s="90"/>
      <c r="AV17" s="90">
        <f>43000-12855</f>
        <v>30145</v>
      </c>
      <c r="AW17" s="85">
        <v>2420</v>
      </c>
      <c r="AX17" s="65"/>
      <c r="AY17" s="65"/>
      <c r="AZ17" s="65"/>
    </row>
    <row r="18" spans="1:52" x14ac:dyDescent="0.25">
      <c r="A18" s="42">
        <v>5100</v>
      </c>
      <c r="B18" s="47" t="s">
        <v>22</v>
      </c>
      <c r="C18" s="65"/>
      <c r="D18" s="65"/>
      <c r="E18" s="65"/>
      <c r="F18" s="65"/>
      <c r="G18" s="65"/>
      <c r="H18" s="65"/>
      <c r="I18" s="85"/>
      <c r="J18" s="65"/>
      <c r="K18" s="65"/>
      <c r="L18" s="85"/>
      <c r="M18" s="65">
        <f>0+254</f>
        <v>254</v>
      </c>
      <c r="N18" s="402"/>
      <c r="O18" s="52"/>
      <c r="P18" s="52"/>
      <c r="Q18" s="52"/>
      <c r="R18" s="52"/>
      <c r="S18" s="52"/>
      <c r="T18" s="52"/>
      <c r="U18" s="52">
        <v>300</v>
      </c>
      <c r="V18" s="643"/>
      <c r="W18" s="12"/>
      <c r="X18" s="65"/>
      <c r="Y18" s="65"/>
      <c r="Z18" s="65"/>
      <c r="AA18" s="113"/>
      <c r="AB18" s="90"/>
      <c r="AC18" s="85"/>
      <c r="AD18" s="65"/>
      <c r="AE18" s="65"/>
      <c r="AF18" s="65"/>
      <c r="AG18" s="65"/>
      <c r="AH18" s="65"/>
      <c r="AI18" s="65"/>
      <c r="AJ18" s="65"/>
      <c r="AK18" s="65">
        <f>1000-700-300</f>
        <v>0</v>
      </c>
      <c r="AL18" s="85">
        <v>250</v>
      </c>
      <c r="AM18" s="65">
        <v>0</v>
      </c>
      <c r="AN18" s="85">
        <v>243</v>
      </c>
      <c r="AO18" s="65"/>
      <c r="AP18" s="85"/>
      <c r="AQ18" s="65"/>
      <c r="AR18" s="85"/>
      <c r="AS18" s="65"/>
      <c r="AT18" s="90"/>
      <c r="AU18" s="90"/>
      <c r="AV18" s="90"/>
      <c r="AW18" s="85"/>
      <c r="AX18" s="65"/>
      <c r="AY18" s="65"/>
      <c r="AZ18" s="65"/>
    </row>
    <row r="19" spans="1:52" x14ac:dyDescent="0.25">
      <c r="A19" s="42">
        <v>5200</v>
      </c>
      <c r="B19" s="47" t="s">
        <v>23</v>
      </c>
      <c r="C19" s="65"/>
      <c r="D19" s="65"/>
      <c r="E19" s="65"/>
      <c r="F19" s="65">
        <v>29400</v>
      </c>
      <c r="G19" s="68">
        <v>17020</v>
      </c>
      <c r="H19" s="68">
        <v>9000</v>
      </c>
      <c r="I19" s="290">
        <v>13360</v>
      </c>
      <c r="J19" s="68">
        <v>2330</v>
      </c>
      <c r="K19" s="68">
        <v>4438</v>
      </c>
      <c r="L19" s="290">
        <v>4400</v>
      </c>
      <c r="M19" s="68">
        <v>13200</v>
      </c>
      <c r="N19" s="402">
        <v>4700</v>
      </c>
      <c r="O19" s="52">
        <v>2300</v>
      </c>
      <c r="P19" s="52">
        <f>2700+1512</f>
        <v>4212</v>
      </c>
      <c r="Q19" s="52">
        <v>3900</v>
      </c>
      <c r="R19" s="52">
        <v>2500</v>
      </c>
      <c r="S19" s="52">
        <v>2300</v>
      </c>
      <c r="T19" s="52">
        <v>2200</v>
      </c>
      <c r="U19" s="52">
        <v>3300</v>
      </c>
      <c r="V19" s="644">
        <v>17400</v>
      </c>
      <c r="W19" s="12"/>
      <c r="X19" s="68">
        <f>300</f>
        <v>300</v>
      </c>
      <c r="Y19" s="68"/>
      <c r="Z19" s="68"/>
      <c r="AA19" s="113"/>
      <c r="AB19" s="90">
        <f>20100-400</f>
        <v>19700</v>
      </c>
      <c r="AC19" s="290">
        <v>5965</v>
      </c>
      <c r="AD19" s="68">
        <f>3100+800</f>
        <v>3900</v>
      </c>
      <c r="AE19" s="68"/>
      <c r="AF19" s="68"/>
      <c r="AG19" s="68"/>
      <c r="AH19" s="68"/>
      <c r="AI19" s="68"/>
      <c r="AJ19" s="68">
        <v>5600</v>
      </c>
      <c r="AK19" s="68">
        <f>0+700</f>
        <v>700</v>
      </c>
      <c r="AL19" s="85"/>
      <c r="AM19" s="65"/>
      <c r="AN19" s="85">
        <v>1200</v>
      </c>
      <c r="AO19" s="65">
        <v>54336</v>
      </c>
      <c r="AP19" s="85">
        <v>1000</v>
      </c>
      <c r="AQ19" s="65"/>
      <c r="AR19" s="85"/>
      <c r="AS19" s="65">
        <v>7000</v>
      </c>
      <c r="AT19" s="422">
        <v>900</v>
      </c>
      <c r="AU19" s="422">
        <v>8755</v>
      </c>
      <c r="AV19" s="422"/>
      <c r="AW19" s="290">
        <f>6244+11979+11979+12076+48400</f>
        <v>90678</v>
      </c>
      <c r="AX19" s="68"/>
      <c r="AY19" s="68"/>
      <c r="AZ19" s="68"/>
    </row>
    <row r="20" spans="1:52" x14ac:dyDescent="0.25">
      <c r="A20" s="42">
        <v>6400</v>
      </c>
      <c r="B20" s="47" t="s">
        <v>196</v>
      </c>
      <c r="C20" s="65">
        <v>3700</v>
      </c>
      <c r="D20" s="65"/>
      <c r="E20" s="65"/>
      <c r="F20" s="65"/>
      <c r="G20" s="65"/>
      <c r="H20" s="65"/>
      <c r="I20" s="85"/>
      <c r="J20" s="65"/>
      <c r="K20" s="65"/>
      <c r="L20" s="85"/>
      <c r="M20" s="65"/>
      <c r="N20" s="297"/>
      <c r="O20" s="12"/>
      <c r="P20" s="12"/>
      <c r="Q20" s="12"/>
      <c r="R20" s="12"/>
      <c r="S20" s="12"/>
      <c r="T20" s="12"/>
      <c r="U20" s="12"/>
      <c r="V20" s="643"/>
      <c r="W20" s="12"/>
      <c r="X20" s="65"/>
      <c r="Y20" s="65"/>
      <c r="Z20" s="65"/>
      <c r="AA20" s="113"/>
      <c r="AB20" s="90"/>
      <c r="AC20" s="85"/>
      <c r="AD20" s="65"/>
      <c r="AE20" s="65"/>
      <c r="AF20" s="65"/>
      <c r="AG20" s="65"/>
      <c r="AH20" s="65"/>
      <c r="AI20" s="65"/>
      <c r="AJ20" s="65"/>
      <c r="AK20" s="65"/>
      <c r="AL20" s="327"/>
      <c r="AM20" s="113"/>
      <c r="AN20" s="327"/>
      <c r="AO20" s="113"/>
      <c r="AP20" s="327"/>
      <c r="AQ20" s="113"/>
      <c r="AR20" s="327"/>
      <c r="AS20" s="113"/>
      <c r="AT20" s="467"/>
      <c r="AU20" s="467"/>
      <c r="AV20" s="90">
        <v>43450</v>
      </c>
      <c r="AW20" s="85"/>
      <c r="AX20" s="65"/>
      <c r="AY20" s="65"/>
      <c r="AZ20" s="65"/>
    </row>
    <row r="21" spans="1:52" ht="15.75" thickBot="1" x14ac:dyDescent="0.3">
      <c r="A21" s="363">
        <v>7700</v>
      </c>
      <c r="B21" s="364" t="s">
        <v>96</v>
      </c>
      <c r="C21" s="125"/>
      <c r="D21" s="125"/>
      <c r="E21" s="125"/>
      <c r="F21" s="125"/>
      <c r="G21" s="125"/>
      <c r="H21" s="365"/>
      <c r="I21" s="3"/>
      <c r="J21" s="125"/>
      <c r="K21" s="125"/>
      <c r="L21" s="3"/>
      <c r="M21" s="125"/>
      <c r="N21" s="679"/>
      <c r="O21" s="405"/>
      <c r="P21" s="405"/>
      <c r="Q21" s="405"/>
      <c r="R21" s="405"/>
      <c r="S21" s="405"/>
      <c r="T21" s="405"/>
      <c r="U21" s="405"/>
      <c r="V21" s="645"/>
      <c r="W21" s="405"/>
      <c r="X21" s="125"/>
      <c r="Y21" s="125"/>
      <c r="Z21" s="125"/>
      <c r="AA21" s="406"/>
      <c r="AB21" s="90"/>
      <c r="AC21" s="3"/>
      <c r="AD21" s="125"/>
      <c r="AE21" s="125"/>
      <c r="AF21" s="125"/>
      <c r="AG21" s="125"/>
      <c r="AH21" s="125"/>
      <c r="AI21" s="125"/>
      <c r="AJ21" s="125"/>
      <c r="AK21" s="125"/>
      <c r="AL21" s="408"/>
      <c r="AM21" s="406"/>
      <c r="AN21" s="408"/>
      <c r="AO21" s="406"/>
      <c r="AP21" s="408"/>
      <c r="AQ21" s="406"/>
      <c r="AR21" s="408"/>
      <c r="AS21" s="406"/>
      <c r="AT21" s="680"/>
      <c r="AU21" s="680"/>
      <c r="AV21" s="124"/>
      <c r="AW21" s="3"/>
      <c r="AX21" s="125"/>
      <c r="AY21" s="125"/>
      <c r="AZ21" s="125"/>
    </row>
    <row r="22" spans="1:52" ht="15.75" thickBot="1" x14ac:dyDescent="0.3">
      <c r="A22" s="34"/>
      <c r="B22" s="58" t="s">
        <v>26</v>
      </c>
      <c r="C22" s="681">
        <f>SUM(C9+C10+C11+C17+C18+C19+C20)</f>
        <v>201122</v>
      </c>
      <c r="D22" s="681">
        <f t="shared" ref="D22:E22" si="1">SUM(D9+D10+D11+D17+D18+D19+D20)</f>
        <v>885787</v>
      </c>
      <c r="E22" s="681">
        <f t="shared" si="1"/>
        <v>95622</v>
      </c>
      <c r="F22" s="682">
        <f t="shared" ref="F22:AZ22" si="2">SUM(F9+F10+F11+F17+F18+F19+F20)</f>
        <v>863490</v>
      </c>
      <c r="G22" s="682">
        <f>SUM(G9+G10+G11+G17+G18+G19+G20)</f>
        <v>152405</v>
      </c>
      <c r="H22" s="682">
        <f>SUM(H9+H10+H11+H17+H18+H19+H20)</f>
        <v>32369</v>
      </c>
      <c r="I22" s="682">
        <f t="shared" si="2"/>
        <v>176781</v>
      </c>
      <c r="J22" s="682">
        <f t="shared" si="2"/>
        <v>34201</v>
      </c>
      <c r="K22" s="682">
        <f t="shared" si="2"/>
        <v>26158</v>
      </c>
      <c r="L22" s="682">
        <f t="shared" si="2"/>
        <v>43790</v>
      </c>
      <c r="M22" s="682">
        <f>SUM(M9+M10+M11+M17+M18+M19+M20)</f>
        <v>165114</v>
      </c>
      <c r="N22" s="682">
        <f t="shared" si="2"/>
        <v>46928</v>
      </c>
      <c r="O22" s="682">
        <f t="shared" si="2"/>
        <v>46098</v>
      </c>
      <c r="P22" s="682">
        <f t="shared" si="2"/>
        <v>24442</v>
      </c>
      <c r="Q22" s="682">
        <f t="shared" si="2"/>
        <v>51062</v>
      </c>
      <c r="R22" s="682">
        <f t="shared" si="2"/>
        <v>21533</v>
      </c>
      <c r="S22" s="682">
        <f t="shared" si="2"/>
        <v>25066</v>
      </c>
      <c r="T22" s="682">
        <f>SUM(T9+T10+T11+T17+T18+T19+T20)</f>
        <v>29594</v>
      </c>
      <c r="U22" s="682">
        <f t="shared" si="2"/>
        <v>23738</v>
      </c>
      <c r="V22" s="683">
        <f t="shared" si="2"/>
        <v>668672</v>
      </c>
      <c r="W22" s="59">
        <f t="shared" si="2"/>
        <v>17202</v>
      </c>
      <c r="X22" s="684">
        <f t="shared" si="2"/>
        <v>131761</v>
      </c>
      <c r="Y22" s="682">
        <f t="shared" si="2"/>
        <v>26655</v>
      </c>
      <c r="Z22" s="682">
        <f t="shared" si="2"/>
        <v>39693</v>
      </c>
      <c r="AA22" s="682">
        <f t="shared" si="2"/>
        <v>25634</v>
      </c>
      <c r="AB22" s="682">
        <f t="shared" si="2"/>
        <v>60637</v>
      </c>
      <c r="AC22" s="682">
        <f t="shared" si="2"/>
        <v>473819</v>
      </c>
      <c r="AD22" s="682">
        <f t="shared" si="2"/>
        <v>207319</v>
      </c>
      <c r="AE22" s="682">
        <f t="shared" si="2"/>
        <v>288998</v>
      </c>
      <c r="AF22" s="682">
        <f t="shared" si="2"/>
        <v>167759</v>
      </c>
      <c r="AG22" s="682">
        <f t="shared" si="2"/>
        <v>65853</v>
      </c>
      <c r="AH22" s="682">
        <f t="shared" si="2"/>
        <v>104623</v>
      </c>
      <c r="AI22" s="682">
        <f t="shared" si="2"/>
        <v>620481</v>
      </c>
      <c r="AJ22" s="682">
        <f t="shared" si="2"/>
        <v>217167</v>
      </c>
      <c r="AK22" s="682">
        <f t="shared" si="2"/>
        <v>87743</v>
      </c>
      <c r="AL22" s="682">
        <f t="shared" si="2"/>
        <v>236228</v>
      </c>
      <c r="AM22" s="682">
        <f t="shared" si="2"/>
        <v>123184</v>
      </c>
      <c r="AN22" s="682">
        <f t="shared" si="2"/>
        <v>174378</v>
      </c>
      <c r="AO22" s="682">
        <f t="shared" si="2"/>
        <v>274074</v>
      </c>
      <c r="AP22" s="682">
        <f t="shared" si="2"/>
        <v>22860</v>
      </c>
      <c r="AQ22" s="682">
        <f t="shared" si="2"/>
        <v>41240</v>
      </c>
      <c r="AR22" s="682">
        <f t="shared" si="2"/>
        <v>68214</v>
      </c>
      <c r="AS22" s="682">
        <f t="shared" si="2"/>
        <v>125438</v>
      </c>
      <c r="AT22" s="682">
        <f t="shared" si="2"/>
        <v>228762</v>
      </c>
      <c r="AU22" s="682">
        <f t="shared" si="2"/>
        <v>160901</v>
      </c>
      <c r="AV22" s="682">
        <f t="shared" si="2"/>
        <v>141750</v>
      </c>
      <c r="AW22" s="682">
        <f t="shared" si="2"/>
        <v>387494</v>
      </c>
      <c r="AX22" s="682">
        <f t="shared" ref="AX22:AY22" si="3">SUM(AX9+AX10+AX11+AX17+AX18+AX19+AX20)</f>
        <v>120830</v>
      </c>
      <c r="AY22" s="682">
        <f t="shared" si="3"/>
        <v>68475</v>
      </c>
      <c r="AZ22" s="685">
        <f t="shared" si="2"/>
        <v>281978</v>
      </c>
    </row>
    <row r="23" spans="1:52" x14ac:dyDescent="0.25">
      <c r="B23" s="60" t="s">
        <v>151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45"/>
      <c r="W23" s="3"/>
      <c r="X23" s="3"/>
      <c r="Y23" s="3"/>
      <c r="Z23" s="3"/>
      <c r="AA23" s="3"/>
      <c r="AB23" s="3"/>
      <c r="AC23" s="3">
        <v>5076</v>
      </c>
      <c r="AD23" s="3">
        <v>5922</v>
      </c>
      <c r="AE23" s="3">
        <v>5076</v>
      </c>
      <c r="AF23" s="3">
        <v>3384</v>
      </c>
      <c r="AG23" s="3"/>
      <c r="AH23" s="3">
        <v>1692</v>
      </c>
      <c r="AI23" s="3">
        <v>11844</v>
      </c>
      <c r="AJ23" s="3">
        <v>5922</v>
      </c>
      <c r="AK23" s="3">
        <v>4230</v>
      </c>
      <c r="AL23" s="3">
        <v>9306</v>
      </c>
      <c r="AM23" s="3">
        <v>2538</v>
      </c>
      <c r="AN23" s="3">
        <v>2538</v>
      </c>
      <c r="AO23" s="3">
        <v>6768</v>
      </c>
      <c r="AP23" s="3"/>
      <c r="AQ23" s="3">
        <v>1692</v>
      </c>
      <c r="AR23" s="3">
        <v>1692</v>
      </c>
      <c r="AS23" s="3">
        <v>1692</v>
      </c>
      <c r="AT23" s="3"/>
      <c r="AU23" s="3"/>
      <c r="AV23" s="3"/>
      <c r="AW23" s="62"/>
      <c r="AX23" s="62"/>
      <c r="AY23" s="62"/>
      <c r="AZ23" s="3"/>
    </row>
    <row r="24" spans="1:52" x14ac:dyDescent="0.25">
      <c r="B24" s="63" t="s">
        <v>261</v>
      </c>
      <c r="C24" s="62">
        <f>C22+C23</f>
        <v>201122</v>
      </c>
      <c r="D24" s="62">
        <f>D22+D23</f>
        <v>885787</v>
      </c>
      <c r="E24" s="62">
        <f>E22+E23</f>
        <v>95622</v>
      </c>
      <c r="F24" s="62">
        <f t="shared" ref="F24:AZ24" si="4">F22+F23</f>
        <v>863490</v>
      </c>
      <c r="G24" s="62">
        <f>G22+G23</f>
        <v>152405</v>
      </c>
      <c r="H24" s="62">
        <f>H22+H23</f>
        <v>32369</v>
      </c>
      <c r="I24" s="62">
        <f t="shared" si="4"/>
        <v>176781</v>
      </c>
      <c r="J24" s="62">
        <f t="shared" si="4"/>
        <v>34201</v>
      </c>
      <c r="K24" s="62">
        <f t="shared" si="4"/>
        <v>26158</v>
      </c>
      <c r="L24" s="62">
        <f t="shared" si="4"/>
        <v>43790</v>
      </c>
      <c r="M24" s="62">
        <f t="shared" si="4"/>
        <v>165114</v>
      </c>
      <c r="N24" s="62">
        <f t="shared" si="4"/>
        <v>46928</v>
      </c>
      <c r="O24" s="62">
        <f t="shared" si="4"/>
        <v>46098</v>
      </c>
      <c r="P24" s="62">
        <f t="shared" si="4"/>
        <v>24442</v>
      </c>
      <c r="Q24" s="62">
        <f t="shared" si="4"/>
        <v>51062</v>
      </c>
      <c r="R24" s="62">
        <f t="shared" si="4"/>
        <v>21533</v>
      </c>
      <c r="S24" s="62">
        <f t="shared" si="4"/>
        <v>25066</v>
      </c>
      <c r="T24" s="62">
        <f t="shared" si="4"/>
        <v>29594</v>
      </c>
      <c r="U24" s="62">
        <f t="shared" si="4"/>
        <v>23738</v>
      </c>
      <c r="V24" s="646">
        <f t="shared" si="4"/>
        <v>668672</v>
      </c>
      <c r="W24" s="62">
        <f t="shared" si="4"/>
        <v>17202</v>
      </c>
      <c r="X24" s="62">
        <f t="shared" si="4"/>
        <v>131761</v>
      </c>
      <c r="Y24" s="62">
        <f t="shared" si="4"/>
        <v>26655</v>
      </c>
      <c r="Z24" s="62">
        <f t="shared" si="4"/>
        <v>39693</v>
      </c>
      <c r="AA24" s="62">
        <f t="shared" si="4"/>
        <v>25634</v>
      </c>
      <c r="AB24" s="62">
        <f t="shared" si="4"/>
        <v>60637</v>
      </c>
      <c r="AC24" s="62">
        <f t="shared" si="4"/>
        <v>478895</v>
      </c>
      <c r="AD24" s="62">
        <f t="shared" si="4"/>
        <v>213241</v>
      </c>
      <c r="AE24" s="62">
        <f t="shared" si="4"/>
        <v>294074</v>
      </c>
      <c r="AF24" s="62">
        <f t="shared" si="4"/>
        <v>171143</v>
      </c>
      <c r="AG24" s="62">
        <f t="shared" si="4"/>
        <v>65853</v>
      </c>
      <c r="AH24" s="62">
        <f t="shared" si="4"/>
        <v>106315</v>
      </c>
      <c r="AI24" s="62">
        <f t="shared" si="4"/>
        <v>632325</v>
      </c>
      <c r="AJ24" s="62">
        <f t="shared" si="4"/>
        <v>223089</v>
      </c>
      <c r="AK24" s="62">
        <f t="shared" si="4"/>
        <v>91973</v>
      </c>
      <c r="AL24" s="62">
        <f t="shared" si="4"/>
        <v>245534</v>
      </c>
      <c r="AM24" s="62">
        <f t="shared" si="4"/>
        <v>125722</v>
      </c>
      <c r="AN24" s="62">
        <f t="shared" si="4"/>
        <v>176916</v>
      </c>
      <c r="AO24" s="62">
        <f t="shared" si="4"/>
        <v>280842</v>
      </c>
      <c r="AP24" s="62">
        <f t="shared" si="4"/>
        <v>22860</v>
      </c>
      <c r="AQ24" s="62">
        <f t="shared" si="4"/>
        <v>42932</v>
      </c>
      <c r="AR24" s="62">
        <f t="shared" si="4"/>
        <v>69906</v>
      </c>
      <c r="AS24" s="62">
        <f t="shared" si="4"/>
        <v>127130</v>
      </c>
      <c r="AT24" s="62">
        <f t="shared" si="4"/>
        <v>228762</v>
      </c>
      <c r="AU24" s="62">
        <f t="shared" si="4"/>
        <v>160901</v>
      </c>
      <c r="AV24" s="62">
        <f t="shared" si="4"/>
        <v>141750</v>
      </c>
      <c r="AW24" s="62">
        <f t="shared" si="4"/>
        <v>387494</v>
      </c>
      <c r="AX24" s="62">
        <f t="shared" ref="AX24:AY24" si="5">AX22+AX23</f>
        <v>120830</v>
      </c>
      <c r="AY24" s="62">
        <f t="shared" si="5"/>
        <v>68475</v>
      </c>
      <c r="AZ24" s="62">
        <f t="shared" si="4"/>
        <v>281978</v>
      </c>
    </row>
    <row r="25" spans="1:52" x14ac:dyDescent="0.25">
      <c r="B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52" x14ac:dyDescent="0.25">
      <c r="B26" s="5" t="s">
        <v>916</v>
      </c>
      <c r="E26" s="136"/>
      <c r="V26" s="676"/>
      <c r="AW26" s="136"/>
    </row>
    <row r="27" spans="1:52" x14ac:dyDescent="0.25">
      <c r="B27" s="2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</row>
    <row r="28" spans="1:52" x14ac:dyDescent="0.25">
      <c r="B28" s="257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1"/>
    </row>
    <row r="29" spans="1:52" x14ac:dyDescent="0.25">
      <c r="U29" s="136"/>
      <c r="AI29" s="1"/>
      <c r="AK29" s="1"/>
    </row>
    <row r="40" spans="33:33" x14ac:dyDescent="0.25">
      <c r="AG40" s="4" t="s">
        <v>169</v>
      </c>
    </row>
  </sheetData>
  <mergeCells count="1">
    <mergeCell ref="A4:C4"/>
  </mergeCells>
  <phoneticPr fontId="0" type="noConversion"/>
  <pageMargins left="0.55118110236220474" right="0.55118110236220474" top="0" bottom="0.59055118110236227" header="0.11811023622047245" footer="0.51181102362204722"/>
  <pageSetup paperSize="8" scale="37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zoomScaleNormal="100" workbookViewId="0">
      <pane xSplit="3" ySplit="7" topLeftCell="J8" activePane="bottomRight" state="frozen"/>
      <selection pane="topRight" activeCell="E1" sqref="E1"/>
      <selection pane="bottomLeft" activeCell="A9" sqref="A9"/>
      <selection pane="bottomRight" activeCell="AA6" sqref="AA6"/>
    </sheetView>
  </sheetViews>
  <sheetFormatPr defaultColWidth="9.140625" defaultRowHeight="15" x14ac:dyDescent="0.25"/>
  <cols>
    <col min="1" max="1" width="6.140625" style="1" customWidth="1"/>
    <col min="2" max="2" width="46.85546875" style="1" customWidth="1"/>
    <col min="3" max="3" width="11.140625" style="1" customWidth="1"/>
    <col min="4" max="4" width="10.42578125" style="1" customWidth="1"/>
    <col min="5" max="5" width="9.42578125" style="1" customWidth="1"/>
    <col min="6" max="6" width="9.140625" style="1" customWidth="1"/>
    <col min="7" max="7" width="10.140625" style="1" customWidth="1"/>
    <col min="8" max="8" width="10.5703125" style="1" customWidth="1"/>
    <col min="9" max="12" width="10.140625" style="1" customWidth="1"/>
    <col min="13" max="13" width="10.7109375" style="1" customWidth="1"/>
    <col min="14" max="17" width="10.5703125" style="1" customWidth="1"/>
    <col min="18" max="18" width="10.140625" style="1" customWidth="1"/>
    <col min="19" max="19" width="10.5703125" style="1" customWidth="1"/>
    <col min="20" max="20" width="9.7109375" style="1" customWidth="1"/>
    <col min="21" max="21" width="10.140625" style="1" customWidth="1"/>
    <col min="22" max="22" width="12.140625" style="1" customWidth="1"/>
    <col min="23" max="23" width="10.85546875" style="1" customWidth="1"/>
    <col min="24" max="16384" width="9.140625" style="1"/>
  </cols>
  <sheetData>
    <row r="1" spans="1:22" x14ac:dyDescent="0.25">
      <c r="B1" s="2" t="s">
        <v>0</v>
      </c>
    </row>
    <row r="2" spans="1:22" x14ac:dyDescent="0.25">
      <c r="V2" s="2" t="s">
        <v>203</v>
      </c>
    </row>
    <row r="3" spans="1:22" x14ac:dyDescent="0.25">
      <c r="A3" s="3" t="s">
        <v>89</v>
      </c>
      <c r="G3" s="4"/>
      <c r="H3" s="4"/>
      <c r="P3" s="136"/>
      <c r="Q3" s="136"/>
      <c r="S3" s="136"/>
      <c r="U3" s="4"/>
    </row>
    <row r="4" spans="1:22" x14ac:dyDescent="0.25">
      <c r="B4" s="3" t="s">
        <v>714</v>
      </c>
      <c r="G4" s="4"/>
      <c r="H4" s="4"/>
      <c r="U4" s="4"/>
    </row>
    <row r="5" spans="1:22" x14ac:dyDescent="0.25">
      <c r="A5" s="3"/>
      <c r="B5" s="63" t="s">
        <v>91</v>
      </c>
      <c r="D5" s="33" t="s">
        <v>253</v>
      </c>
      <c r="E5" s="33" t="s">
        <v>66</v>
      </c>
      <c r="F5" s="33" t="s">
        <v>67</v>
      </c>
      <c r="G5" s="33" t="s">
        <v>68</v>
      </c>
      <c r="H5" s="33" t="s">
        <v>69</v>
      </c>
      <c r="I5" s="33" t="s">
        <v>404</v>
      </c>
      <c r="J5" s="33" t="s">
        <v>405</v>
      </c>
      <c r="K5" s="33" t="s">
        <v>406</v>
      </c>
      <c r="L5" s="33" t="s">
        <v>407</v>
      </c>
      <c r="M5" s="33" t="s">
        <v>254</v>
      </c>
      <c r="N5" s="33" t="s">
        <v>255</v>
      </c>
      <c r="O5" s="33" t="s">
        <v>256</v>
      </c>
      <c r="P5" s="33" t="s">
        <v>258</v>
      </c>
      <c r="Q5" s="33" t="s">
        <v>257</v>
      </c>
      <c r="R5" s="33" t="s">
        <v>259</v>
      </c>
      <c r="S5" s="33" t="s">
        <v>260</v>
      </c>
      <c r="T5" s="33" t="s">
        <v>252</v>
      </c>
      <c r="U5" s="33" t="s">
        <v>338</v>
      </c>
      <c r="V5" s="33" t="s">
        <v>198</v>
      </c>
    </row>
    <row r="6" spans="1:22" ht="60" customHeight="1" thickBot="1" x14ac:dyDescent="0.3">
      <c r="B6" s="3"/>
      <c r="C6" s="739"/>
      <c r="D6" s="5" t="s">
        <v>330</v>
      </c>
      <c r="E6" s="5" t="s">
        <v>591</v>
      </c>
      <c r="F6" s="5" t="s">
        <v>82</v>
      </c>
      <c r="G6" s="5" t="s">
        <v>592</v>
      </c>
      <c r="H6" s="5" t="s">
        <v>27</v>
      </c>
      <c r="I6" s="5" t="s">
        <v>408</v>
      </c>
      <c r="J6" s="5" t="s">
        <v>409</v>
      </c>
      <c r="K6" s="5" t="s">
        <v>410</v>
      </c>
      <c r="L6" s="5" t="s">
        <v>593</v>
      </c>
      <c r="M6" s="5" t="s">
        <v>691</v>
      </c>
      <c r="N6" s="5" t="s">
        <v>221</v>
      </c>
      <c r="O6" s="5" t="s">
        <v>223</v>
      </c>
      <c r="P6" s="5" t="s">
        <v>331</v>
      </c>
      <c r="Q6" s="5" t="s">
        <v>332</v>
      </c>
      <c r="R6" s="5" t="s">
        <v>224</v>
      </c>
      <c r="S6" s="5" t="s">
        <v>222</v>
      </c>
      <c r="T6" s="5" t="s">
        <v>216</v>
      </c>
      <c r="U6" s="5" t="s">
        <v>339</v>
      </c>
      <c r="V6" s="739" t="s">
        <v>199</v>
      </c>
    </row>
    <row r="7" spans="1:22" ht="33.75" customHeight="1" thickBot="1" x14ac:dyDescent="0.35">
      <c r="A7" s="34" t="s">
        <v>7</v>
      </c>
      <c r="B7" s="35" t="s">
        <v>10</v>
      </c>
      <c r="C7" s="36" t="s">
        <v>29</v>
      </c>
      <c r="D7" s="686" t="s">
        <v>716</v>
      </c>
      <c r="E7" s="686" t="s">
        <v>599</v>
      </c>
      <c r="F7" s="686" t="s">
        <v>716</v>
      </c>
      <c r="G7" s="686" t="s">
        <v>716</v>
      </c>
      <c r="H7" s="686" t="s">
        <v>716</v>
      </c>
      <c r="I7" s="686" t="s">
        <v>716</v>
      </c>
      <c r="J7" s="686" t="s">
        <v>716</v>
      </c>
      <c r="K7" s="686" t="s">
        <v>716</v>
      </c>
      <c r="L7" s="686" t="s">
        <v>716</v>
      </c>
      <c r="M7" s="686" t="s">
        <v>716</v>
      </c>
      <c r="N7" s="686" t="s">
        <v>716</v>
      </c>
      <c r="O7" s="686" t="s">
        <v>716</v>
      </c>
      <c r="P7" s="686" t="s">
        <v>716</v>
      </c>
      <c r="Q7" s="686" t="s">
        <v>716</v>
      </c>
      <c r="R7" s="686" t="s">
        <v>716</v>
      </c>
      <c r="S7" s="686" t="s">
        <v>716</v>
      </c>
      <c r="T7" s="686" t="s">
        <v>716</v>
      </c>
      <c r="U7" s="686" t="s">
        <v>716</v>
      </c>
      <c r="V7" s="686" t="s">
        <v>716</v>
      </c>
    </row>
    <row r="8" spans="1:22" x14ac:dyDescent="0.25">
      <c r="A8" s="38">
        <v>1100</v>
      </c>
      <c r="B8" s="39" t="s">
        <v>11</v>
      </c>
      <c r="C8" s="477">
        <f>SUM(D8:V8)</f>
        <v>5544001</v>
      </c>
      <c r="D8" s="423">
        <v>541760</v>
      </c>
      <c r="E8" s="329">
        <v>440465</v>
      </c>
      <c r="F8" s="329">
        <v>212702</v>
      </c>
      <c r="G8" s="329">
        <v>267079</v>
      </c>
      <c r="H8" s="329">
        <v>132618</v>
      </c>
      <c r="I8" s="329">
        <v>194493</v>
      </c>
      <c r="J8" s="329">
        <v>171285</v>
      </c>
      <c r="K8" s="329">
        <v>247820</v>
      </c>
      <c r="L8" s="329">
        <v>541480</v>
      </c>
      <c r="M8" s="329">
        <v>269379</v>
      </c>
      <c r="N8" s="329">
        <v>123741</v>
      </c>
      <c r="O8" s="329">
        <v>521738</v>
      </c>
      <c r="P8" s="329">
        <v>456445</v>
      </c>
      <c r="Q8" s="329">
        <v>324473</v>
      </c>
      <c r="R8" s="329">
        <v>116435</v>
      </c>
      <c r="S8" s="329">
        <v>226803</v>
      </c>
      <c r="T8" s="329">
        <v>396120</v>
      </c>
      <c r="U8" s="329">
        <v>359165</v>
      </c>
      <c r="V8" s="687"/>
    </row>
    <row r="9" spans="1:22" ht="29.25" customHeight="1" x14ac:dyDescent="0.25">
      <c r="A9" s="42">
        <v>1200</v>
      </c>
      <c r="B9" s="43" t="s">
        <v>12</v>
      </c>
      <c r="C9" s="477">
        <f t="shared" ref="C9:C24" si="0">SUM(D9:V9)</f>
        <v>2441880</v>
      </c>
      <c r="D9" s="688">
        <v>190189</v>
      </c>
      <c r="E9" s="45">
        <v>234858</v>
      </c>
      <c r="F9" s="45">
        <v>140823</v>
      </c>
      <c r="G9" s="45">
        <v>126008</v>
      </c>
      <c r="H9" s="45">
        <v>58252</v>
      </c>
      <c r="I9" s="45">
        <v>72016</v>
      </c>
      <c r="J9" s="45">
        <v>72409</v>
      </c>
      <c r="K9" s="45">
        <v>103319</v>
      </c>
      <c r="L9" s="45">
        <v>187665</v>
      </c>
      <c r="M9" s="45">
        <v>104747</v>
      </c>
      <c r="N9" s="45">
        <v>56644</v>
      </c>
      <c r="O9" s="45">
        <v>203093</v>
      </c>
      <c r="P9" s="45">
        <v>160015</v>
      </c>
      <c r="Q9" s="45">
        <v>118529</v>
      </c>
      <c r="R9" s="45">
        <f>35023+27467</f>
        <v>62490</v>
      </c>
      <c r="S9" s="45">
        <v>131426</v>
      </c>
      <c r="T9" s="45">
        <v>220534</v>
      </c>
      <c r="U9" s="45">
        <v>198863</v>
      </c>
      <c r="V9" s="46"/>
    </row>
    <row r="10" spans="1:22" x14ac:dyDescent="0.25">
      <c r="A10" s="42">
        <v>2000</v>
      </c>
      <c r="B10" s="47" t="s">
        <v>13</v>
      </c>
      <c r="C10" s="477">
        <f t="shared" si="0"/>
        <v>3676183</v>
      </c>
      <c r="D10" s="402">
        <f>SUM(D11:D15)</f>
        <v>176782</v>
      </c>
      <c r="E10" s="52">
        <f>SUM(E11:E15)</f>
        <v>365830</v>
      </c>
      <c r="F10" s="52">
        <f t="shared" ref="F10:R10" si="1">SUM(F11:F15)</f>
        <v>468510</v>
      </c>
      <c r="G10" s="52">
        <f t="shared" si="1"/>
        <v>131221</v>
      </c>
      <c r="H10" s="52">
        <f>SUM(H11:H15)</f>
        <v>87618</v>
      </c>
      <c r="I10" s="52">
        <f>SUM(I11:I15)</f>
        <v>85732</v>
      </c>
      <c r="J10" s="52">
        <f>SUM(J11:J15)</f>
        <v>178597</v>
      </c>
      <c r="K10" s="52">
        <f>SUM(K11:K15)</f>
        <v>155565</v>
      </c>
      <c r="L10" s="52">
        <f t="shared" ref="L10" si="2">SUM(L11:L15)</f>
        <v>261942</v>
      </c>
      <c r="M10" s="52">
        <f t="shared" si="1"/>
        <v>197063</v>
      </c>
      <c r="N10" s="52">
        <f t="shared" si="1"/>
        <v>102097</v>
      </c>
      <c r="O10" s="52">
        <f t="shared" si="1"/>
        <v>196578</v>
      </c>
      <c r="P10" s="52">
        <f t="shared" si="1"/>
        <v>133009</v>
      </c>
      <c r="Q10" s="52">
        <f t="shared" si="1"/>
        <v>141446</v>
      </c>
      <c r="R10" s="52">
        <f t="shared" si="1"/>
        <v>20156</v>
      </c>
      <c r="S10" s="52">
        <f>SUM(S11:S15)</f>
        <v>205328</v>
      </c>
      <c r="T10" s="52">
        <f>SUM(T11:T15)</f>
        <v>368165</v>
      </c>
      <c r="U10" s="52">
        <f>SUM(U11:U15)</f>
        <v>400544</v>
      </c>
      <c r="V10" s="53">
        <f t="shared" ref="V10" si="3">SUM(V11:V15)</f>
        <v>0</v>
      </c>
    </row>
    <row r="11" spans="1:22" x14ac:dyDescent="0.25">
      <c r="A11" s="42">
        <v>2100</v>
      </c>
      <c r="B11" s="47" t="s">
        <v>14</v>
      </c>
      <c r="C11" s="477">
        <f t="shared" si="0"/>
        <v>7808</v>
      </c>
      <c r="D11" s="402">
        <v>500</v>
      </c>
      <c r="E11" s="52">
        <v>200</v>
      </c>
      <c r="F11" s="52">
        <v>2000</v>
      </c>
      <c r="G11" s="52"/>
      <c r="H11" s="52">
        <v>100</v>
      </c>
      <c r="I11" s="52"/>
      <c r="J11" s="52">
        <f>1000-302</f>
        <v>698</v>
      </c>
      <c r="K11" s="52">
        <v>200</v>
      </c>
      <c r="L11" s="52">
        <v>200</v>
      </c>
      <c r="M11" s="52">
        <f>1200-600</f>
        <v>600</v>
      </c>
      <c r="N11" s="52">
        <v>800</v>
      </c>
      <c r="O11" s="52"/>
      <c r="P11" s="52">
        <v>550</v>
      </c>
      <c r="Q11" s="52">
        <v>160</v>
      </c>
      <c r="R11" s="52"/>
      <c r="S11" s="52">
        <v>800</v>
      </c>
      <c r="T11" s="52">
        <v>1000</v>
      </c>
      <c r="U11" s="52"/>
      <c r="V11" s="53"/>
    </row>
    <row r="12" spans="1:22" x14ac:dyDescent="0.25">
      <c r="A12" s="42">
        <v>2200</v>
      </c>
      <c r="B12" s="47" t="s">
        <v>15</v>
      </c>
      <c r="C12" s="477">
        <f t="shared" si="0"/>
        <v>2767171</v>
      </c>
      <c r="D12" s="402">
        <f>94901+2000</f>
        <v>96901</v>
      </c>
      <c r="E12" s="52">
        <f>280671+4850</f>
        <v>285521</v>
      </c>
      <c r="F12" s="52">
        <f>414159+14190</f>
        <v>428349</v>
      </c>
      <c r="G12" s="52">
        <f>92946+4260</f>
        <v>97206</v>
      </c>
      <c r="H12" s="52">
        <f>59690+1726</f>
        <v>61416</v>
      </c>
      <c r="I12" s="52">
        <f>64606+1029</f>
        <v>65635</v>
      </c>
      <c r="J12" s="52">
        <f>129305+5690</f>
        <v>134995</v>
      </c>
      <c r="K12" s="52">
        <f>131448+1500</f>
        <v>132948</v>
      </c>
      <c r="L12" s="52">
        <f>203336+2300</f>
        <v>205636</v>
      </c>
      <c r="M12" s="52">
        <f>124200+9246</f>
        <v>133446</v>
      </c>
      <c r="N12" s="52">
        <f>41800+3000</f>
        <v>44800</v>
      </c>
      <c r="O12" s="52">
        <f>139098+5735</f>
        <v>144833</v>
      </c>
      <c r="P12" s="52">
        <f>92100+3050</f>
        <v>95150</v>
      </c>
      <c r="Q12" s="52">
        <f>113181+2008+2149-675</f>
        <v>116663</v>
      </c>
      <c r="R12" s="52">
        <f>8900+152</f>
        <v>9052</v>
      </c>
      <c r="S12" s="52">
        <f>140850+6550</f>
        <v>147400</v>
      </c>
      <c r="T12" s="52">
        <f>251196+12579</f>
        <v>263775</v>
      </c>
      <c r="U12" s="52">
        <f>282445+21000</f>
        <v>303445</v>
      </c>
      <c r="V12" s="53"/>
    </row>
    <row r="13" spans="1:22" ht="30" x14ac:dyDescent="0.25">
      <c r="A13" s="42">
        <v>2300</v>
      </c>
      <c r="B13" s="43" t="s">
        <v>16</v>
      </c>
      <c r="C13" s="477">
        <f t="shared" si="0"/>
        <v>877345</v>
      </c>
      <c r="D13" s="402">
        <f>76432+1849</f>
        <v>78281</v>
      </c>
      <c r="E13" s="52">
        <f>57336+20338</f>
        <v>77674</v>
      </c>
      <c r="F13" s="52">
        <f>33440+1241</f>
        <v>34681</v>
      </c>
      <c r="G13" s="52">
        <f>24915+9100</f>
        <v>34015</v>
      </c>
      <c r="H13" s="52">
        <f>22237+2515</f>
        <v>24752</v>
      </c>
      <c r="I13" s="52">
        <f>19146+951</f>
        <v>20097</v>
      </c>
      <c r="J13" s="52">
        <f>40175+1779</f>
        <v>41954</v>
      </c>
      <c r="K13" s="52">
        <f>20200+1417</f>
        <v>21617</v>
      </c>
      <c r="L13" s="52">
        <f>54210+1104</f>
        <v>55314</v>
      </c>
      <c r="M13" s="52">
        <f>56518+4699</f>
        <v>61217</v>
      </c>
      <c r="N13" s="52">
        <f>54700+447</f>
        <v>55147</v>
      </c>
      <c r="O13" s="52">
        <f>64950-21600+6045</f>
        <v>49395</v>
      </c>
      <c r="P13" s="52">
        <f>35100+1159</f>
        <v>36259</v>
      </c>
      <c r="Q13" s="52">
        <f>26111+378+633-2149-750</f>
        <v>24223</v>
      </c>
      <c r="R13" s="52">
        <f>12824+10936-10936-2000</f>
        <v>10824</v>
      </c>
      <c r="S13" s="52">
        <f>51300+5728-990</f>
        <v>56038</v>
      </c>
      <c r="T13" s="52">
        <f>101040-982</f>
        <v>100058</v>
      </c>
      <c r="U13" s="52">
        <f>87800+7999</f>
        <v>95799</v>
      </c>
      <c r="V13" s="53"/>
    </row>
    <row r="14" spans="1:22" x14ac:dyDescent="0.25">
      <c r="A14" s="42">
        <v>2400</v>
      </c>
      <c r="B14" s="50" t="s">
        <v>47</v>
      </c>
      <c r="C14" s="477">
        <f t="shared" si="0"/>
        <v>6400</v>
      </c>
      <c r="D14" s="402"/>
      <c r="E14" s="52">
        <v>500</v>
      </c>
      <c r="F14" s="52">
        <v>600</v>
      </c>
      <c r="G14" s="52"/>
      <c r="H14" s="52">
        <v>300</v>
      </c>
      <c r="I14" s="52"/>
      <c r="J14" s="52">
        <v>350</v>
      </c>
      <c r="K14" s="52">
        <v>800</v>
      </c>
      <c r="L14" s="52">
        <v>250</v>
      </c>
      <c r="M14" s="52">
        <v>300</v>
      </c>
      <c r="N14" s="52">
        <v>700</v>
      </c>
      <c r="O14" s="52">
        <v>500</v>
      </c>
      <c r="P14" s="52">
        <v>550</v>
      </c>
      <c r="Q14" s="52">
        <v>250</v>
      </c>
      <c r="R14" s="52"/>
      <c r="S14" s="52">
        <v>300</v>
      </c>
      <c r="T14" s="52">
        <v>700</v>
      </c>
      <c r="U14" s="52">
        <v>300</v>
      </c>
      <c r="V14" s="53"/>
    </row>
    <row r="15" spans="1:22" x14ac:dyDescent="0.25">
      <c r="A15" s="42">
        <v>2500</v>
      </c>
      <c r="B15" s="47" t="s">
        <v>17</v>
      </c>
      <c r="C15" s="477">
        <f t="shared" si="0"/>
        <v>17459</v>
      </c>
      <c r="D15" s="826">
        <v>1100</v>
      </c>
      <c r="E15" s="52">
        <v>1935</v>
      </c>
      <c r="F15" s="52">
        <v>2880</v>
      </c>
      <c r="G15" s="52"/>
      <c r="H15" s="52">
        <v>1050</v>
      </c>
      <c r="I15" s="52"/>
      <c r="J15" s="52">
        <v>600</v>
      </c>
      <c r="K15" s="52"/>
      <c r="L15" s="52">
        <v>542</v>
      </c>
      <c r="M15" s="52">
        <v>1500</v>
      </c>
      <c r="N15" s="52">
        <v>650</v>
      </c>
      <c r="O15" s="52">
        <v>1850</v>
      </c>
      <c r="P15" s="52">
        <v>500</v>
      </c>
      <c r="Q15" s="52">
        <v>150</v>
      </c>
      <c r="R15" s="52">
        <v>280</v>
      </c>
      <c r="S15" s="52">
        <v>790</v>
      </c>
      <c r="T15" s="52">
        <v>2632</v>
      </c>
      <c r="U15" s="52">
        <v>1000</v>
      </c>
      <c r="V15" s="53"/>
    </row>
    <row r="16" spans="1:22" s="66" customFormat="1" x14ac:dyDescent="0.25">
      <c r="A16" s="42">
        <v>3200</v>
      </c>
      <c r="B16" s="1" t="s">
        <v>79</v>
      </c>
      <c r="C16" s="477">
        <f t="shared" si="0"/>
        <v>215000</v>
      </c>
      <c r="D16" s="297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53">
        <v>215000</v>
      </c>
    </row>
    <row r="17" spans="1:25" x14ac:dyDescent="0.25">
      <c r="A17" s="42">
        <v>5100</v>
      </c>
      <c r="B17" s="47" t="s">
        <v>22</v>
      </c>
      <c r="C17" s="477">
        <f t="shared" si="0"/>
        <v>3960</v>
      </c>
      <c r="D17" s="402">
        <v>500</v>
      </c>
      <c r="E17" s="52"/>
      <c r="F17" s="52"/>
      <c r="G17" s="52"/>
      <c r="H17" s="52"/>
      <c r="I17" s="52">
        <v>210</v>
      </c>
      <c r="J17" s="52"/>
      <c r="K17" s="52"/>
      <c r="L17" s="52"/>
      <c r="M17" s="52">
        <f>3000-1500</f>
        <v>1500</v>
      </c>
      <c r="N17" s="52">
        <v>900</v>
      </c>
      <c r="O17" s="52"/>
      <c r="P17" s="52"/>
      <c r="Q17" s="52"/>
      <c r="R17" s="52"/>
      <c r="S17" s="52"/>
      <c r="T17" s="52"/>
      <c r="U17" s="52">
        <v>850</v>
      </c>
      <c r="V17" s="53"/>
      <c r="X17" s="351"/>
    </row>
    <row r="18" spans="1:25" x14ac:dyDescent="0.25">
      <c r="A18" s="42">
        <v>5200</v>
      </c>
      <c r="B18" s="67" t="s">
        <v>23</v>
      </c>
      <c r="C18" s="477">
        <f t="shared" si="0"/>
        <v>806613</v>
      </c>
      <c r="D18" s="402">
        <f>31800+6750</f>
        <v>38550</v>
      </c>
      <c r="E18" s="52">
        <f>72388+14838+5000</f>
        <v>92226</v>
      </c>
      <c r="F18" s="52">
        <f>56200+40000+8000</f>
        <v>104200</v>
      </c>
      <c r="G18" s="52">
        <f>24450+4400</f>
        <v>28850</v>
      </c>
      <c r="H18" s="52">
        <f>6900+843</f>
        <v>7743</v>
      </c>
      <c r="I18" s="52">
        <f>200+150</f>
        <v>350</v>
      </c>
      <c r="J18" s="52">
        <f>16800+8460</f>
        <v>25260</v>
      </c>
      <c r="K18" s="52">
        <f>15000+655</f>
        <v>15655</v>
      </c>
      <c r="L18" s="52">
        <f>3000+3130</f>
        <v>6130</v>
      </c>
      <c r="M18" s="52">
        <f>57144+2500</f>
        <v>59644</v>
      </c>
      <c r="N18" s="52">
        <f>16600+400</f>
        <v>17000</v>
      </c>
      <c r="O18" s="52">
        <f>24500+1000</f>
        <v>25500</v>
      </c>
      <c r="P18" s="52">
        <f>19600-1800+600</f>
        <v>18400</v>
      </c>
      <c r="Q18" s="52">
        <f>16800-5400-4900+35000+550+200+675+1000</f>
        <v>43925</v>
      </c>
      <c r="R18" s="52">
        <v>30000</v>
      </c>
      <c r="S18" s="52">
        <f>7300+6990</f>
        <v>14290</v>
      </c>
      <c r="T18" s="52">
        <f>24969+32484</f>
        <v>57453</v>
      </c>
      <c r="U18" s="52">
        <f>64500+140000+16937</f>
        <v>221437</v>
      </c>
      <c r="V18" s="53"/>
      <c r="X18" s="351"/>
    </row>
    <row r="19" spans="1:25" s="3" customFormat="1" x14ac:dyDescent="0.25">
      <c r="A19" s="42">
        <v>6000</v>
      </c>
      <c r="B19" s="43" t="s">
        <v>44</v>
      </c>
      <c r="C19" s="477">
        <f t="shared" si="0"/>
        <v>0</v>
      </c>
      <c r="D19" s="402">
        <f>SUM(D20:D22)</f>
        <v>0</v>
      </c>
      <c r="E19" s="52">
        <f>SUM(E20:E22)</f>
        <v>0</v>
      </c>
      <c r="F19" s="52">
        <f t="shared" ref="F19:V19" si="4">SUM(F20:F22)</f>
        <v>0</v>
      </c>
      <c r="G19" s="52">
        <f t="shared" si="4"/>
        <v>0</v>
      </c>
      <c r="H19" s="52">
        <f>SUM(H20:H22)</f>
        <v>0</v>
      </c>
      <c r="I19" s="52">
        <f>SUM(I20:I22)</f>
        <v>0</v>
      </c>
      <c r="J19" s="52">
        <f>SUM(J20:J22)</f>
        <v>0</v>
      </c>
      <c r="K19" s="52">
        <f>SUM(K20:K22)</f>
        <v>0</v>
      </c>
      <c r="L19" s="52">
        <f>SUM(L20:L22)</f>
        <v>0</v>
      </c>
      <c r="M19" s="52">
        <f t="shared" si="4"/>
        <v>0</v>
      </c>
      <c r="N19" s="52">
        <f t="shared" si="4"/>
        <v>0</v>
      </c>
      <c r="O19" s="52">
        <v>0</v>
      </c>
      <c r="P19" s="52">
        <v>0</v>
      </c>
      <c r="Q19" s="52">
        <f t="shared" si="4"/>
        <v>0</v>
      </c>
      <c r="R19" s="52">
        <f t="shared" si="4"/>
        <v>0</v>
      </c>
      <c r="S19" s="52">
        <f>SUM(S20:S22)</f>
        <v>0</v>
      </c>
      <c r="T19" s="52">
        <f>SUM(T20:T22)</f>
        <v>0</v>
      </c>
      <c r="U19" s="52">
        <f>SUM(U20:U22)</f>
        <v>0</v>
      </c>
      <c r="V19" s="53">
        <f t="shared" si="4"/>
        <v>0</v>
      </c>
      <c r="X19" s="351"/>
      <c r="Y19" s="351"/>
    </row>
    <row r="20" spans="1:25" s="3" customFormat="1" x14ac:dyDescent="0.25">
      <c r="A20" s="42">
        <v>6200</v>
      </c>
      <c r="B20" s="47" t="s">
        <v>24</v>
      </c>
      <c r="C20" s="477">
        <f t="shared" si="0"/>
        <v>0</v>
      </c>
      <c r="D20" s="689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  <c r="X20" s="351"/>
      <c r="Y20" s="351"/>
    </row>
    <row r="21" spans="1:25" x14ac:dyDescent="0.25">
      <c r="A21" s="42">
        <v>6300</v>
      </c>
      <c r="B21" s="43" t="s">
        <v>45</v>
      </c>
      <c r="C21" s="477">
        <f t="shared" si="0"/>
        <v>0</v>
      </c>
      <c r="D21" s="689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  <c r="X21" s="351"/>
      <c r="Y21" s="351"/>
    </row>
    <row r="22" spans="1:25" x14ac:dyDescent="0.25">
      <c r="A22" s="55">
        <v>6400</v>
      </c>
      <c r="B22" s="200" t="s">
        <v>196</v>
      </c>
      <c r="C22" s="477">
        <f t="shared" si="0"/>
        <v>0</v>
      </c>
      <c r="D22" s="402"/>
      <c r="E22" s="48"/>
      <c r="F22" s="48"/>
      <c r="G22" s="48"/>
      <c r="H22" s="52"/>
      <c r="I22" s="48"/>
      <c r="J22" s="48"/>
      <c r="K22" s="48"/>
      <c r="L22" s="48"/>
      <c r="M22" s="52"/>
      <c r="N22" s="52"/>
      <c r="O22" s="52"/>
      <c r="P22" s="52"/>
      <c r="Q22" s="48"/>
      <c r="R22" s="48"/>
      <c r="S22" s="52"/>
      <c r="T22" s="52"/>
      <c r="U22" s="52"/>
      <c r="V22" s="49"/>
      <c r="X22" s="351"/>
      <c r="Y22" s="351"/>
    </row>
    <row r="23" spans="1:25" ht="15.75" thickBot="1" x14ac:dyDescent="0.3">
      <c r="A23" s="55">
        <v>7200</v>
      </c>
      <c r="B23" s="56" t="s">
        <v>25</v>
      </c>
      <c r="C23" s="477">
        <f t="shared" si="0"/>
        <v>0</v>
      </c>
      <c r="D23" s="690"/>
      <c r="E23" s="691"/>
      <c r="F23" s="691"/>
      <c r="G23" s="691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692"/>
    </row>
    <row r="24" spans="1:25" ht="15.75" thickBot="1" x14ac:dyDescent="0.3">
      <c r="A24" s="34"/>
      <c r="B24" s="58" t="s">
        <v>26</v>
      </c>
      <c r="C24" s="64">
        <f t="shared" si="0"/>
        <v>12687637</v>
      </c>
      <c r="D24" s="678">
        <f>D8+D9+D10+D16+D17+D18+D19</f>
        <v>947781</v>
      </c>
      <c r="E24" s="678">
        <f t="shared" ref="E24:V24" si="5">E8+E9+E10+E16+E17+E18+E19</f>
        <v>1133379</v>
      </c>
      <c r="F24" s="678">
        <f t="shared" si="5"/>
        <v>926235</v>
      </c>
      <c r="G24" s="678">
        <f t="shared" si="5"/>
        <v>553158</v>
      </c>
      <c r="H24" s="678">
        <f>H8+H9+H10+H16+H17+H18+H19</f>
        <v>286231</v>
      </c>
      <c r="I24" s="678">
        <f>I8+I9+I10+I16+I17+I18+I19</f>
        <v>352801</v>
      </c>
      <c r="J24" s="678">
        <f>J8+J9+J10+J16+J17+J18+J19</f>
        <v>447551</v>
      </c>
      <c r="K24" s="678">
        <f>K8+K9+K10+K16+K17+K18+K19</f>
        <v>522359</v>
      </c>
      <c r="L24" s="678">
        <f>L8+L9+L10+L16+L17+L18+L19</f>
        <v>997217</v>
      </c>
      <c r="M24" s="678">
        <f t="shared" si="5"/>
        <v>632333</v>
      </c>
      <c r="N24" s="678">
        <f t="shared" si="5"/>
        <v>300382</v>
      </c>
      <c r="O24" s="678">
        <f t="shared" si="5"/>
        <v>946909</v>
      </c>
      <c r="P24" s="678">
        <f t="shared" si="5"/>
        <v>767869</v>
      </c>
      <c r="Q24" s="678">
        <f t="shared" si="5"/>
        <v>628373</v>
      </c>
      <c r="R24" s="678">
        <f t="shared" si="5"/>
        <v>229081</v>
      </c>
      <c r="S24" s="678">
        <f>S8+S9+S10+S16+S17+S18+S19</f>
        <v>577847</v>
      </c>
      <c r="T24" s="824">
        <f>T8+T9+T10+T16+T17+T18+T19</f>
        <v>1042272</v>
      </c>
      <c r="U24" s="678">
        <f>U8+U9+U10+U16+U17+U18+U19</f>
        <v>1180859</v>
      </c>
      <c r="V24" s="678">
        <f t="shared" si="5"/>
        <v>215000</v>
      </c>
    </row>
    <row r="25" spans="1:25" x14ac:dyDescent="0.25">
      <c r="B25" s="654" t="s">
        <v>637</v>
      </c>
      <c r="C25" s="136">
        <f>SUM(D25:V25)</f>
        <v>13044712</v>
      </c>
      <c r="D25" s="136">
        <v>315368</v>
      </c>
      <c r="E25" s="435">
        <v>1822436</v>
      </c>
      <c r="F25" s="435">
        <v>1390216</v>
      </c>
      <c r="G25" s="435">
        <v>662277</v>
      </c>
      <c r="H25" s="435">
        <v>338258</v>
      </c>
      <c r="I25" s="1">
        <v>154232</v>
      </c>
      <c r="J25" s="1">
        <v>411432</v>
      </c>
      <c r="K25" s="1">
        <v>226780</v>
      </c>
      <c r="L25" s="1">
        <v>360800</v>
      </c>
      <c r="M25" s="136">
        <v>695578</v>
      </c>
      <c r="N25" s="136">
        <v>276640</v>
      </c>
      <c r="O25" s="136">
        <v>585536</v>
      </c>
      <c r="P25" s="136">
        <v>264664</v>
      </c>
      <c r="Q25" s="136">
        <v>258296</v>
      </c>
      <c r="R25" s="1">
        <v>379896</v>
      </c>
      <c r="S25" s="136">
        <v>936608</v>
      </c>
      <c r="T25" s="136">
        <f>1950880-3725</f>
        <v>1947155</v>
      </c>
      <c r="U25" s="435">
        <v>2018540</v>
      </c>
      <c r="Y25" s="136"/>
    </row>
    <row r="26" spans="1:25" x14ac:dyDescent="0.25">
      <c r="B26" s="654" t="s">
        <v>48</v>
      </c>
      <c r="C26" s="136">
        <f t="shared" ref="C26:C32" si="6">SUM(D26:V26)</f>
        <v>284794</v>
      </c>
      <c r="D26" s="1">
        <v>59709</v>
      </c>
      <c r="E26" s="19"/>
      <c r="F26" s="435"/>
      <c r="G26" s="435"/>
      <c r="H26" s="19"/>
      <c r="I26" s="1">
        <v>18891</v>
      </c>
      <c r="K26" s="1">
        <v>24288</v>
      </c>
      <c r="L26" s="1">
        <v>57010</v>
      </c>
      <c r="O26" s="1">
        <v>73877</v>
      </c>
      <c r="P26" s="1">
        <v>36176</v>
      </c>
      <c r="Q26" s="1">
        <v>14843</v>
      </c>
      <c r="U26" s="19"/>
      <c r="W26" s="339"/>
      <c r="X26" s="351"/>
      <c r="Y26" s="136"/>
    </row>
    <row r="27" spans="1:25" x14ac:dyDescent="0.25">
      <c r="B27" s="654" t="s">
        <v>49</v>
      </c>
      <c r="C27" s="136">
        <f t="shared" si="6"/>
        <v>502114</v>
      </c>
      <c r="D27" s="136">
        <v>13468</v>
      </c>
      <c r="E27" s="435">
        <v>54095</v>
      </c>
      <c r="F27" s="435">
        <v>29404</v>
      </c>
      <c r="G27" s="435">
        <v>31850</v>
      </c>
      <c r="H27" s="435">
        <v>23656</v>
      </c>
      <c r="I27" s="1">
        <v>15091</v>
      </c>
      <c r="J27" s="1">
        <v>31236</v>
      </c>
      <c r="K27" s="1">
        <v>17120</v>
      </c>
      <c r="L27" s="1">
        <v>21949</v>
      </c>
      <c r="M27" s="136">
        <v>34049</v>
      </c>
      <c r="N27" s="136">
        <v>10779</v>
      </c>
      <c r="O27" s="136">
        <v>14084</v>
      </c>
      <c r="P27" s="136">
        <v>27595</v>
      </c>
      <c r="Q27" s="136">
        <v>15484</v>
      </c>
      <c r="R27" s="1">
        <v>5798</v>
      </c>
      <c r="S27" s="136">
        <v>17374</v>
      </c>
      <c r="T27" s="136">
        <v>79748</v>
      </c>
      <c r="U27" s="435">
        <v>59334</v>
      </c>
      <c r="W27" s="339"/>
      <c r="X27" s="351"/>
      <c r="Y27" s="136"/>
    </row>
    <row r="28" spans="1:25" x14ac:dyDescent="0.25">
      <c r="B28" s="103" t="s">
        <v>643</v>
      </c>
      <c r="C28" s="136">
        <f t="shared" si="6"/>
        <v>12247</v>
      </c>
      <c r="V28" s="1">
        <f>9609+2638</f>
        <v>12247</v>
      </c>
      <c r="W28" s="339"/>
      <c r="X28" s="351"/>
      <c r="Y28" s="136"/>
    </row>
    <row r="29" spans="1:25" x14ac:dyDescent="0.25">
      <c r="B29" s="654" t="s">
        <v>151</v>
      </c>
      <c r="C29" s="136">
        <f t="shared" si="6"/>
        <v>0</v>
      </c>
      <c r="E29" s="19"/>
      <c r="F29" s="435"/>
      <c r="G29" s="19"/>
      <c r="H29" s="19"/>
      <c r="U29" s="435"/>
      <c r="W29" s="339"/>
      <c r="X29" s="351"/>
      <c r="Y29" s="136"/>
    </row>
    <row r="30" spans="1:25" x14ac:dyDescent="0.25">
      <c r="B30" s="654" t="s">
        <v>717</v>
      </c>
      <c r="C30" s="136">
        <f t="shared" si="6"/>
        <v>3725</v>
      </c>
      <c r="E30" s="19"/>
      <c r="F30" s="435"/>
      <c r="G30" s="19"/>
      <c r="H30" s="19"/>
      <c r="T30" s="1">
        <f>3725</f>
        <v>3725</v>
      </c>
      <c r="U30" s="435"/>
      <c r="W30" s="339"/>
      <c r="X30" s="351"/>
      <c r="Y30" s="136"/>
    </row>
    <row r="31" spans="1:25" x14ac:dyDescent="0.25">
      <c r="B31" s="654" t="s">
        <v>154</v>
      </c>
      <c r="C31" s="136">
        <f t="shared" si="6"/>
        <v>0</v>
      </c>
      <c r="E31" s="19"/>
      <c r="F31" s="435"/>
      <c r="G31" s="19"/>
      <c r="H31" s="19"/>
      <c r="U31" s="435"/>
      <c r="W31" s="339"/>
      <c r="X31" s="351"/>
      <c r="Y31" s="136"/>
    </row>
    <row r="32" spans="1:25" x14ac:dyDescent="0.25">
      <c r="B32" s="60" t="s">
        <v>38</v>
      </c>
      <c r="C32" s="136">
        <f t="shared" si="6"/>
        <v>26535229</v>
      </c>
      <c r="D32" s="62">
        <f>SUM(D24:D31)</f>
        <v>1336326</v>
      </c>
      <c r="E32" s="62">
        <f t="shared" ref="E32:V32" si="7">SUM(E24:E31)</f>
        <v>3009910</v>
      </c>
      <c r="F32" s="62">
        <f t="shared" si="7"/>
        <v>2345855</v>
      </c>
      <c r="G32" s="62">
        <f t="shared" si="7"/>
        <v>1247285</v>
      </c>
      <c r="H32" s="62">
        <f>SUM(H24:H31)</f>
        <v>648145</v>
      </c>
      <c r="I32" s="62">
        <f>SUM(I24:I31)</f>
        <v>541015</v>
      </c>
      <c r="J32" s="62">
        <f>SUM(J24:J31)</f>
        <v>890219</v>
      </c>
      <c r="K32" s="62">
        <f>SUM(K24:K31)</f>
        <v>790547</v>
      </c>
      <c r="L32" s="62">
        <f>SUM(L24:L31)</f>
        <v>1436976</v>
      </c>
      <c r="M32" s="62">
        <f t="shared" si="7"/>
        <v>1361960</v>
      </c>
      <c r="N32" s="62">
        <f t="shared" si="7"/>
        <v>587801</v>
      </c>
      <c r="O32" s="62">
        <f t="shared" si="7"/>
        <v>1620406</v>
      </c>
      <c r="P32" s="62">
        <f t="shared" si="7"/>
        <v>1096304</v>
      </c>
      <c r="Q32" s="62">
        <f t="shared" si="7"/>
        <v>916996</v>
      </c>
      <c r="R32" s="62">
        <f t="shared" si="7"/>
        <v>614775</v>
      </c>
      <c r="S32" s="62">
        <f>SUM(S24:S31)</f>
        <v>1531829</v>
      </c>
      <c r="T32" s="62">
        <f>SUM(T24:T31)</f>
        <v>3072900</v>
      </c>
      <c r="U32" s="62">
        <f>SUM(U24:U31)</f>
        <v>3258733</v>
      </c>
      <c r="V32" s="62">
        <f t="shared" si="7"/>
        <v>227247</v>
      </c>
      <c r="W32" s="339"/>
      <c r="X32" s="351"/>
      <c r="Y32" s="136"/>
    </row>
    <row r="33" spans="2:22" x14ac:dyDescent="0.25">
      <c r="B33" s="2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</row>
    <row r="34" spans="2:22" x14ac:dyDescent="0.25">
      <c r="B34" s="5" t="s">
        <v>916</v>
      </c>
      <c r="C34" s="5"/>
    </row>
    <row r="36" spans="2:22" hidden="1" x14ac:dyDescent="0.25">
      <c r="D36" s="62" t="e">
        <f>D25+#REF!+D26+#REF!+D27+#REF!+D29+D31</f>
        <v>#REF!</v>
      </c>
      <c r="E36" s="62" t="e">
        <f>E25+#REF!+E26+#REF!+E27+#REF!+E29+E31</f>
        <v>#REF!</v>
      </c>
      <c r="F36" s="62" t="e">
        <f>F25+#REF!+F26+#REF!+F27+#REF!+F29+F31</f>
        <v>#REF!</v>
      </c>
      <c r="G36" s="62" t="e">
        <f>G25+#REF!+G26+#REF!+G27+#REF!+G29+G31</f>
        <v>#REF!</v>
      </c>
      <c r="H36" s="62" t="e">
        <f>H25+#REF!+H26+#REF!+H27+#REF!+H29+H31</f>
        <v>#REF!</v>
      </c>
      <c r="I36" s="62" t="e">
        <f>I25+#REF!+I26+#REF!+I27+#REF!+I29+I31</f>
        <v>#REF!</v>
      </c>
      <c r="J36" s="62" t="e">
        <f>J25+#REF!+J26+#REF!+J27+#REF!+J29+J31</f>
        <v>#REF!</v>
      </c>
      <c r="K36" s="62" t="e">
        <f>K25+#REF!+K26+#REF!+K27+#REF!+K29+K31</f>
        <v>#REF!</v>
      </c>
      <c r="L36" s="62"/>
      <c r="M36" s="62" t="e">
        <f>M25+#REF!+M26+#REF!+M27+#REF!+M29+M31</f>
        <v>#REF!</v>
      </c>
      <c r="N36" s="62" t="e">
        <f>N25+#REF!+N26+#REF!+N27+#REF!+N29+N31</f>
        <v>#REF!</v>
      </c>
      <c r="O36" s="62" t="e">
        <f>O25+#REF!+O26+#REF!+O27+#REF!+O29+O31</f>
        <v>#REF!</v>
      </c>
      <c r="P36" s="62" t="e">
        <f>P25+#REF!+P26+#REF!+P27+#REF!+P29+P31</f>
        <v>#REF!</v>
      </c>
      <c r="Q36" s="62" t="e">
        <f>Q25+#REF!+Q26+#REF!+Q27+#REF!+Q29+Q31</f>
        <v>#REF!</v>
      </c>
      <c r="R36" s="62" t="e">
        <f>R25+#REF!+R26+#REF!+R27+#REF!+R29+R31</f>
        <v>#REF!</v>
      </c>
      <c r="S36" s="62" t="e">
        <f>S25+#REF!+S26+#REF!+S27+#REF!+S29+S31</f>
        <v>#REF!</v>
      </c>
      <c r="T36" s="62" t="e">
        <f>T25+#REF!+T26+#REF!+T27+#REF!+T29+T31</f>
        <v>#REF!</v>
      </c>
      <c r="U36" s="62" t="e">
        <f>U25+#REF!+U26+#REF!+U27+#REF!+U29+U31</f>
        <v>#REF!</v>
      </c>
      <c r="V36" s="62" t="e">
        <f>V25+#REF!+V26+#REF!+V27+#REF!+V29+V31</f>
        <v>#REF!</v>
      </c>
    </row>
    <row r="37" spans="2:22" hidden="1" x14ac:dyDescent="0.25">
      <c r="D37" s="1" t="e">
        <f>ROUND((D36/1.2359),0)</f>
        <v>#REF!</v>
      </c>
      <c r="E37" s="1" t="e">
        <f>ROUND((E36/1.2359),0)</f>
        <v>#REF!</v>
      </c>
      <c r="F37" s="1" t="e">
        <f t="shared" ref="F37:V37" si="8">ROUND((F36/1.2359),0)</f>
        <v>#REF!</v>
      </c>
      <c r="G37" s="1" t="e">
        <f t="shared" si="8"/>
        <v>#REF!</v>
      </c>
      <c r="H37" s="1" t="e">
        <f>ROUND((H36/1.2359),0)</f>
        <v>#REF!</v>
      </c>
      <c r="I37" s="1" t="e">
        <f>ROUND((I36/1.2359),0)</f>
        <v>#REF!</v>
      </c>
      <c r="J37" s="1" t="e">
        <f>ROUND((J36/1.2359),0)</f>
        <v>#REF!</v>
      </c>
      <c r="K37" s="1" t="e">
        <f>ROUND((K36/1.2359),0)</f>
        <v>#REF!</v>
      </c>
      <c r="M37" s="1" t="e">
        <f t="shared" si="8"/>
        <v>#REF!</v>
      </c>
      <c r="N37" s="1" t="e">
        <f t="shared" si="8"/>
        <v>#REF!</v>
      </c>
      <c r="O37" s="1" t="e">
        <f t="shared" si="8"/>
        <v>#REF!</v>
      </c>
      <c r="P37" s="1" t="e">
        <f t="shared" si="8"/>
        <v>#REF!</v>
      </c>
      <c r="Q37" s="1" t="e">
        <f t="shared" si="8"/>
        <v>#REF!</v>
      </c>
      <c r="R37" s="1" t="e">
        <f t="shared" si="8"/>
        <v>#REF!</v>
      </c>
      <c r="S37" s="1" t="e">
        <f>ROUND((S36/1.2359),0)</f>
        <v>#REF!</v>
      </c>
      <c r="T37" s="1" t="e">
        <f>ROUND((T36/1.2359),0)</f>
        <v>#REF!</v>
      </c>
      <c r="U37" s="1" t="e">
        <f>ROUND((U36/1.2359),0)</f>
        <v>#REF!</v>
      </c>
      <c r="V37" s="1" t="e">
        <f t="shared" si="8"/>
        <v>#REF!</v>
      </c>
    </row>
    <row r="38" spans="2:22" hidden="1" x14ac:dyDescent="0.25">
      <c r="D38" s="136" t="e">
        <f>D36-D37</f>
        <v>#REF!</v>
      </c>
      <c r="E38" s="136" t="e">
        <f>E36-E37</f>
        <v>#REF!</v>
      </c>
      <c r="F38" s="136" t="e">
        <f t="shared" ref="F38:V38" si="9">F36-F37</f>
        <v>#REF!</v>
      </c>
      <c r="G38" s="136" t="e">
        <f t="shared" si="9"/>
        <v>#REF!</v>
      </c>
      <c r="H38" s="136" t="e">
        <f>H36-H37</f>
        <v>#REF!</v>
      </c>
      <c r="I38" s="136" t="e">
        <f>I36-I37</f>
        <v>#REF!</v>
      </c>
      <c r="J38" s="136" t="e">
        <f>J36-J37</f>
        <v>#REF!</v>
      </c>
      <c r="K38" s="136" t="e">
        <f>K36-K37</f>
        <v>#REF!</v>
      </c>
      <c r="L38" s="136"/>
      <c r="M38" s="136" t="e">
        <f t="shared" si="9"/>
        <v>#REF!</v>
      </c>
      <c r="N38" s="136" t="e">
        <f t="shared" si="9"/>
        <v>#REF!</v>
      </c>
      <c r="O38" s="136" t="e">
        <f t="shared" si="9"/>
        <v>#REF!</v>
      </c>
      <c r="P38" s="136" t="e">
        <f t="shared" si="9"/>
        <v>#REF!</v>
      </c>
      <c r="Q38" s="136" t="e">
        <f t="shared" si="9"/>
        <v>#REF!</v>
      </c>
      <c r="R38" s="136" t="e">
        <f t="shared" si="9"/>
        <v>#REF!</v>
      </c>
      <c r="S38" s="136" t="e">
        <f>S36-S37</f>
        <v>#REF!</v>
      </c>
      <c r="T38" s="136" t="e">
        <f>T36-T37</f>
        <v>#REF!</v>
      </c>
      <c r="U38" s="136" t="e">
        <f>U36-U37</f>
        <v>#REF!</v>
      </c>
      <c r="V38" s="136" t="e">
        <f t="shared" si="9"/>
        <v>#REF!</v>
      </c>
    </row>
  </sheetData>
  <phoneticPr fontId="0" type="noConversion"/>
  <pageMargins left="0.35433070866141736" right="0.19685039370078741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84" zoomScaleNormal="84" workbookViewId="0">
      <selection activeCell="N11" sqref="N11"/>
    </sheetView>
  </sheetViews>
  <sheetFormatPr defaultColWidth="8.85546875" defaultRowHeight="15.75" x14ac:dyDescent="0.25"/>
  <cols>
    <col min="1" max="1" width="55.5703125" style="765" customWidth="1"/>
    <col min="2" max="2" width="9.85546875" style="767" customWidth="1"/>
    <col min="3" max="3" width="10.85546875" style="767" customWidth="1"/>
    <col min="4" max="4" width="9" style="767" bestFit="1" customWidth="1"/>
    <col min="5" max="5" width="6.85546875" style="767" customWidth="1"/>
    <col min="6" max="8" width="8.85546875" style="767"/>
    <col min="9" max="9" width="10.42578125" style="767" customWidth="1"/>
    <col min="10" max="214" width="8.85546875" style="767"/>
    <col min="215" max="215" width="57.85546875" style="767" customWidth="1"/>
    <col min="216" max="216" width="9.85546875" style="767" customWidth="1"/>
    <col min="217" max="217" width="11" style="767" customWidth="1"/>
    <col min="218" max="218" width="23.85546875" style="767" customWidth="1"/>
    <col min="219" max="470" width="8.85546875" style="767"/>
    <col min="471" max="471" width="57.85546875" style="767" customWidth="1"/>
    <col min="472" max="472" width="9.85546875" style="767" customWidth="1"/>
    <col min="473" max="473" width="11" style="767" customWidth="1"/>
    <col min="474" max="474" width="23.85546875" style="767" customWidth="1"/>
    <col min="475" max="726" width="8.85546875" style="767"/>
    <col min="727" max="727" width="57.85546875" style="767" customWidth="1"/>
    <col min="728" max="728" width="9.85546875" style="767" customWidth="1"/>
    <col min="729" max="729" width="11" style="767" customWidth="1"/>
    <col min="730" max="730" width="23.85546875" style="767" customWidth="1"/>
    <col min="731" max="982" width="8.85546875" style="767"/>
    <col min="983" max="983" width="57.85546875" style="767" customWidth="1"/>
    <col min="984" max="984" width="9.85546875" style="767" customWidth="1"/>
    <col min="985" max="985" width="11" style="767" customWidth="1"/>
    <col min="986" max="986" width="23.85546875" style="767" customWidth="1"/>
    <col min="987" max="1238" width="8.85546875" style="767"/>
    <col min="1239" max="1239" width="57.85546875" style="767" customWidth="1"/>
    <col min="1240" max="1240" width="9.85546875" style="767" customWidth="1"/>
    <col min="1241" max="1241" width="11" style="767" customWidth="1"/>
    <col min="1242" max="1242" width="23.85546875" style="767" customWidth="1"/>
    <col min="1243" max="1494" width="8.85546875" style="767"/>
    <col min="1495" max="1495" width="57.85546875" style="767" customWidth="1"/>
    <col min="1496" max="1496" width="9.85546875" style="767" customWidth="1"/>
    <col min="1497" max="1497" width="11" style="767" customWidth="1"/>
    <col min="1498" max="1498" width="23.85546875" style="767" customWidth="1"/>
    <col min="1499" max="1750" width="8.85546875" style="767"/>
    <col min="1751" max="1751" width="57.85546875" style="767" customWidth="1"/>
    <col min="1752" max="1752" width="9.85546875" style="767" customWidth="1"/>
    <col min="1753" max="1753" width="11" style="767" customWidth="1"/>
    <col min="1754" max="1754" width="23.85546875" style="767" customWidth="1"/>
    <col min="1755" max="2006" width="8.85546875" style="767"/>
    <col min="2007" max="2007" width="57.85546875" style="767" customWidth="1"/>
    <col min="2008" max="2008" width="9.85546875" style="767" customWidth="1"/>
    <col min="2009" max="2009" width="11" style="767" customWidth="1"/>
    <col min="2010" max="2010" width="23.85546875" style="767" customWidth="1"/>
    <col min="2011" max="2262" width="8.85546875" style="767"/>
    <col min="2263" max="2263" width="57.85546875" style="767" customWidth="1"/>
    <col min="2264" max="2264" width="9.85546875" style="767" customWidth="1"/>
    <col min="2265" max="2265" width="11" style="767" customWidth="1"/>
    <col min="2266" max="2266" width="23.85546875" style="767" customWidth="1"/>
    <col min="2267" max="2518" width="8.85546875" style="767"/>
    <col min="2519" max="2519" width="57.85546875" style="767" customWidth="1"/>
    <col min="2520" max="2520" width="9.85546875" style="767" customWidth="1"/>
    <col min="2521" max="2521" width="11" style="767" customWidth="1"/>
    <col min="2522" max="2522" width="23.85546875" style="767" customWidth="1"/>
    <col min="2523" max="2774" width="8.85546875" style="767"/>
    <col min="2775" max="2775" width="57.85546875" style="767" customWidth="1"/>
    <col min="2776" max="2776" width="9.85546875" style="767" customWidth="1"/>
    <col min="2777" max="2777" width="11" style="767" customWidth="1"/>
    <col min="2778" max="2778" width="23.85546875" style="767" customWidth="1"/>
    <col min="2779" max="3030" width="8.85546875" style="767"/>
    <col min="3031" max="3031" width="57.85546875" style="767" customWidth="1"/>
    <col min="3032" max="3032" width="9.85546875" style="767" customWidth="1"/>
    <col min="3033" max="3033" width="11" style="767" customWidth="1"/>
    <col min="3034" max="3034" width="23.85546875" style="767" customWidth="1"/>
    <col min="3035" max="3286" width="8.85546875" style="767"/>
    <col min="3287" max="3287" width="57.85546875" style="767" customWidth="1"/>
    <col min="3288" max="3288" width="9.85546875" style="767" customWidth="1"/>
    <col min="3289" max="3289" width="11" style="767" customWidth="1"/>
    <col min="3290" max="3290" width="23.85546875" style="767" customWidth="1"/>
    <col min="3291" max="3542" width="8.85546875" style="767"/>
    <col min="3543" max="3543" width="57.85546875" style="767" customWidth="1"/>
    <col min="3544" max="3544" width="9.85546875" style="767" customWidth="1"/>
    <col min="3545" max="3545" width="11" style="767" customWidth="1"/>
    <col min="3546" max="3546" width="23.85546875" style="767" customWidth="1"/>
    <col min="3547" max="3798" width="8.85546875" style="767"/>
    <col min="3799" max="3799" width="57.85546875" style="767" customWidth="1"/>
    <col min="3800" max="3800" width="9.85546875" style="767" customWidth="1"/>
    <col min="3801" max="3801" width="11" style="767" customWidth="1"/>
    <col min="3802" max="3802" width="23.85546875" style="767" customWidth="1"/>
    <col min="3803" max="4054" width="8.85546875" style="767"/>
    <col min="4055" max="4055" width="57.85546875" style="767" customWidth="1"/>
    <col min="4056" max="4056" width="9.85546875" style="767" customWidth="1"/>
    <col min="4057" max="4057" width="11" style="767" customWidth="1"/>
    <col min="4058" max="4058" width="23.85546875" style="767" customWidth="1"/>
    <col min="4059" max="4310" width="8.85546875" style="767"/>
    <col min="4311" max="4311" width="57.85546875" style="767" customWidth="1"/>
    <col min="4312" max="4312" width="9.85546875" style="767" customWidth="1"/>
    <col min="4313" max="4313" width="11" style="767" customWidth="1"/>
    <col min="4314" max="4314" width="23.85546875" style="767" customWidth="1"/>
    <col min="4315" max="4566" width="8.85546875" style="767"/>
    <col min="4567" max="4567" width="57.85546875" style="767" customWidth="1"/>
    <col min="4568" max="4568" width="9.85546875" style="767" customWidth="1"/>
    <col min="4569" max="4569" width="11" style="767" customWidth="1"/>
    <col min="4570" max="4570" width="23.85546875" style="767" customWidth="1"/>
    <col min="4571" max="4822" width="8.85546875" style="767"/>
    <col min="4823" max="4823" width="57.85546875" style="767" customWidth="1"/>
    <col min="4824" max="4824" width="9.85546875" style="767" customWidth="1"/>
    <col min="4825" max="4825" width="11" style="767" customWidth="1"/>
    <col min="4826" max="4826" width="23.85546875" style="767" customWidth="1"/>
    <col min="4827" max="5078" width="8.85546875" style="767"/>
    <col min="5079" max="5079" width="57.85546875" style="767" customWidth="1"/>
    <col min="5080" max="5080" width="9.85546875" style="767" customWidth="1"/>
    <col min="5081" max="5081" width="11" style="767" customWidth="1"/>
    <col min="5082" max="5082" width="23.85546875" style="767" customWidth="1"/>
    <col min="5083" max="5334" width="8.85546875" style="767"/>
    <col min="5335" max="5335" width="57.85546875" style="767" customWidth="1"/>
    <col min="5336" max="5336" width="9.85546875" style="767" customWidth="1"/>
    <col min="5337" max="5337" width="11" style="767" customWidth="1"/>
    <col min="5338" max="5338" width="23.85546875" style="767" customWidth="1"/>
    <col min="5339" max="5590" width="8.85546875" style="767"/>
    <col min="5591" max="5591" width="57.85546875" style="767" customWidth="1"/>
    <col min="5592" max="5592" width="9.85546875" style="767" customWidth="1"/>
    <col min="5593" max="5593" width="11" style="767" customWidth="1"/>
    <col min="5594" max="5594" width="23.85546875" style="767" customWidth="1"/>
    <col min="5595" max="5846" width="8.85546875" style="767"/>
    <col min="5847" max="5847" width="57.85546875" style="767" customWidth="1"/>
    <col min="5848" max="5848" width="9.85546875" style="767" customWidth="1"/>
    <col min="5849" max="5849" width="11" style="767" customWidth="1"/>
    <col min="5850" max="5850" width="23.85546875" style="767" customWidth="1"/>
    <col min="5851" max="6102" width="8.85546875" style="767"/>
    <col min="6103" max="6103" width="57.85546875" style="767" customWidth="1"/>
    <col min="6104" max="6104" width="9.85546875" style="767" customWidth="1"/>
    <col min="6105" max="6105" width="11" style="767" customWidth="1"/>
    <col min="6106" max="6106" width="23.85546875" style="767" customWidth="1"/>
    <col min="6107" max="6358" width="8.85546875" style="767"/>
    <col min="6359" max="6359" width="57.85546875" style="767" customWidth="1"/>
    <col min="6360" max="6360" width="9.85546875" style="767" customWidth="1"/>
    <col min="6361" max="6361" width="11" style="767" customWidth="1"/>
    <col min="6362" max="6362" width="23.85546875" style="767" customWidth="1"/>
    <col min="6363" max="6614" width="8.85546875" style="767"/>
    <col min="6615" max="6615" width="57.85546875" style="767" customWidth="1"/>
    <col min="6616" max="6616" width="9.85546875" style="767" customWidth="1"/>
    <col min="6617" max="6617" width="11" style="767" customWidth="1"/>
    <col min="6618" max="6618" width="23.85546875" style="767" customWidth="1"/>
    <col min="6619" max="6870" width="8.85546875" style="767"/>
    <col min="6871" max="6871" width="57.85546875" style="767" customWidth="1"/>
    <col min="6872" max="6872" width="9.85546875" style="767" customWidth="1"/>
    <col min="6873" max="6873" width="11" style="767" customWidth="1"/>
    <col min="6874" max="6874" width="23.85546875" style="767" customWidth="1"/>
    <col min="6875" max="7126" width="8.85546875" style="767"/>
    <col min="7127" max="7127" width="57.85546875" style="767" customWidth="1"/>
    <col min="7128" max="7128" width="9.85546875" style="767" customWidth="1"/>
    <col min="7129" max="7129" width="11" style="767" customWidth="1"/>
    <col min="7130" max="7130" width="23.85546875" style="767" customWidth="1"/>
    <col min="7131" max="7382" width="8.85546875" style="767"/>
    <col min="7383" max="7383" width="57.85546875" style="767" customWidth="1"/>
    <col min="7384" max="7384" width="9.85546875" style="767" customWidth="1"/>
    <col min="7385" max="7385" width="11" style="767" customWidth="1"/>
    <col min="7386" max="7386" width="23.85546875" style="767" customWidth="1"/>
    <col min="7387" max="7638" width="8.85546875" style="767"/>
    <col min="7639" max="7639" width="57.85546875" style="767" customWidth="1"/>
    <col min="7640" max="7640" width="9.85546875" style="767" customWidth="1"/>
    <col min="7641" max="7641" width="11" style="767" customWidth="1"/>
    <col min="7642" max="7642" width="23.85546875" style="767" customWidth="1"/>
    <col min="7643" max="7894" width="8.85546875" style="767"/>
    <col min="7895" max="7895" width="57.85546875" style="767" customWidth="1"/>
    <col min="7896" max="7896" width="9.85546875" style="767" customWidth="1"/>
    <col min="7897" max="7897" width="11" style="767" customWidth="1"/>
    <col min="7898" max="7898" width="23.85546875" style="767" customWidth="1"/>
    <col min="7899" max="8150" width="8.85546875" style="767"/>
    <col min="8151" max="8151" width="57.85546875" style="767" customWidth="1"/>
    <col min="8152" max="8152" width="9.85546875" style="767" customWidth="1"/>
    <col min="8153" max="8153" width="11" style="767" customWidth="1"/>
    <col min="8154" max="8154" width="23.85546875" style="767" customWidth="1"/>
    <col min="8155" max="8406" width="8.85546875" style="767"/>
    <col min="8407" max="8407" width="57.85546875" style="767" customWidth="1"/>
    <col min="8408" max="8408" width="9.85546875" style="767" customWidth="1"/>
    <col min="8409" max="8409" width="11" style="767" customWidth="1"/>
    <col min="8410" max="8410" width="23.85546875" style="767" customWidth="1"/>
    <col min="8411" max="8662" width="8.85546875" style="767"/>
    <col min="8663" max="8663" width="57.85546875" style="767" customWidth="1"/>
    <col min="8664" max="8664" width="9.85546875" style="767" customWidth="1"/>
    <col min="8665" max="8665" width="11" style="767" customWidth="1"/>
    <col min="8666" max="8666" width="23.85546875" style="767" customWidth="1"/>
    <col min="8667" max="8918" width="8.85546875" style="767"/>
    <col min="8919" max="8919" width="57.85546875" style="767" customWidth="1"/>
    <col min="8920" max="8920" width="9.85546875" style="767" customWidth="1"/>
    <col min="8921" max="8921" width="11" style="767" customWidth="1"/>
    <col min="8922" max="8922" width="23.85546875" style="767" customWidth="1"/>
    <col min="8923" max="9174" width="8.85546875" style="767"/>
    <col min="9175" max="9175" width="57.85546875" style="767" customWidth="1"/>
    <col min="9176" max="9176" width="9.85546875" style="767" customWidth="1"/>
    <col min="9177" max="9177" width="11" style="767" customWidth="1"/>
    <col min="9178" max="9178" width="23.85546875" style="767" customWidth="1"/>
    <col min="9179" max="9430" width="8.85546875" style="767"/>
    <col min="9431" max="9431" width="57.85546875" style="767" customWidth="1"/>
    <col min="9432" max="9432" width="9.85546875" style="767" customWidth="1"/>
    <col min="9433" max="9433" width="11" style="767" customWidth="1"/>
    <col min="9434" max="9434" width="23.85546875" style="767" customWidth="1"/>
    <col min="9435" max="9686" width="8.85546875" style="767"/>
    <col min="9687" max="9687" width="57.85546875" style="767" customWidth="1"/>
    <col min="9688" max="9688" width="9.85546875" style="767" customWidth="1"/>
    <col min="9689" max="9689" width="11" style="767" customWidth="1"/>
    <col min="9690" max="9690" width="23.85546875" style="767" customWidth="1"/>
    <col min="9691" max="9942" width="8.85546875" style="767"/>
    <col min="9943" max="9943" width="57.85546875" style="767" customWidth="1"/>
    <col min="9944" max="9944" width="9.85546875" style="767" customWidth="1"/>
    <col min="9945" max="9945" width="11" style="767" customWidth="1"/>
    <col min="9946" max="9946" width="23.85546875" style="767" customWidth="1"/>
    <col min="9947" max="10198" width="8.85546875" style="767"/>
    <col min="10199" max="10199" width="57.85546875" style="767" customWidth="1"/>
    <col min="10200" max="10200" width="9.85546875" style="767" customWidth="1"/>
    <col min="10201" max="10201" width="11" style="767" customWidth="1"/>
    <col min="10202" max="10202" width="23.85546875" style="767" customWidth="1"/>
    <col min="10203" max="10454" width="8.85546875" style="767"/>
    <col min="10455" max="10455" width="57.85546875" style="767" customWidth="1"/>
    <col min="10456" max="10456" width="9.85546875" style="767" customWidth="1"/>
    <col min="10457" max="10457" width="11" style="767" customWidth="1"/>
    <col min="10458" max="10458" width="23.85546875" style="767" customWidth="1"/>
    <col min="10459" max="10710" width="8.85546875" style="767"/>
    <col min="10711" max="10711" width="57.85546875" style="767" customWidth="1"/>
    <col min="10712" max="10712" width="9.85546875" style="767" customWidth="1"/>
    <col min="10713" max="10713" width="11" style="767" customWidth="1"/>
    <col min="10714" max="10714" width="23.85546875" style="767" customWidth="1"/>
    <col min="10715" max="10966" width="8.85546875" style="767"/>
    <col min="10967" max="10967" width="57.85546875" style="767" customWidth="1"/>
    <col min="10968" max="10968" width="9.85546875" style="767" customWidth="1"/>
    <col min="10969" max="10969" width="11" style="767" customWidth="1"/>
    <col min="10970" max="10970" width="23.85546875" style="767" customWidth="1"/>
    <col min="10971" max="11222" width="8.85546875" style="767"/>
    <col min="11223" max="11223" width="57.85546875" style="767" customWidth="1"/>
    <col min="11224" max="11224" width="9.85546875" style="767" customWidth="1"/>
    <col min="11225" max="11225" width="11" style="767" customWidth="1"/>
    <col min="11226" max="11226" width="23.85546875" style="767" customWidth="1"/>
    <col min="11227" max="11478" width="8.85546875" style="767"/>
    <col min="11479" max="11479" width="57.85546875" style="767" customWidth="1"/>
    <col min="11480" max="11480" width="9.85546875" style="767" customWidth="1"/>
    <col min="11481" max="11481" width="11" style="767" customWidth="1"/>
    <col min="11482" max="11482" width="23.85546875" style="767" customWidth="1"/>
    <col min="11483" max="11734" width="8.85546875" style="767"/>
    <col min="11735" max="11735" width="57.85546875" style="767" customWidth="1"/>
    <col min="11736" max="11736" width="9.85546875" style="767" customWidth="1"/>
    <col min="11737" max="11737" width="11" style="767" customWidth="1"/>
    <col min="11738" max="11738" width="23.85546875" style="767" customWidth="1"/>
    <col min="11739" max="11990" width="8.85546875" style="767"/>
    <col min="11991" max="11991" width="57.85546875" style="767" customWidth="1"/>
    <col min="11992" max="11992" width="9.85546875" style="767" customWidth="1"/>
    <col min="11993" max="11993" width="11" style="767" customWidth="1"/>
    <col min="11994" max="11994" width="23.85546875" style="767" customWidth="1"/>
    <col min="11995" max="12246" width="8.85546875" style="767"/>
    <col min="12247" max="12247" width="57.85546875" style="767" customWidth="1"/>
    <col min="12248" max="12248" width="9.85546875" style="767" customWidth="1"/>
    <col min="12249" max="12249" width="11" style="767" customWidth="1"/>
    <col min="12250" max="12250" width="23.85546875" style="767" customWidth="1"/>
    <col min="12251" max="12502" width="8.85546875" style="767"/>
    <col min="12503" max="12503" width="57.85546875" style="767" customWidth="1"/>
    <col min="12504" max="12504" width="9.85546875" style="767" customWidth="1"/>
    <col min="12505" max="12505" width="11" style="767" customWidth="1"/>
    <col min="12506" max="12506" width="23.85546875" style="767" customWidth="1"/>
    <col min="12507" max="12758" width="8.85546875" style="767"/>
    <col min="12759" max="12759" width="57.85546875" style="767" customWidth="1"/>
    <col min="12760" max="12760" width="9.85546875" style="767" customWidth="1"/>
    <col min="12761" max="12761" width="11" style="767" customWidth="1"/>
    <col min="12762" max="12762" width="23.85546875" style="767" customWidth="1"/>
    <col min="12763" max="13014" width="8.85546875" style="767"/>
    <col min="13015" max="13015" width="57.85546875" style="767" customWidth="1"/>
    <col min="13016" max="13016" width="9.85546875" style="767" customWidth="1"/>
    <col min="13017" max="13017" width="11" style="767" customWidth="1"/>
    <col min="13018" max="13018" width="23.85546875" style="767" customWidth="1"/>
    <col min="13019" max="13270" width="8.85546875" style="767"/>
    <col min="13271" max="13271" width="57.85546875" style="767" customWidth="1"/>
    <col min="13272" max="13272" width="9.85546875" style="767" customWidth="1"/>
    <col min="13273" max="13273" width="11" style="767" customWidth="1"/>
    <col min="13274" max="13274" width="23.85546875" style="767" customWidth="1"/>
    <col min="13275" max="13526" width="8.85546875" style="767"/>
    <col min="13527" max="13527" width="57.85546875" style="767" customWidth="1"/>
    <col min="13528" max="13528" width="9.85546875" style="767" customWidth="1"/>
    <col min="13529" max="13529" width="11" style="767" customWidth="1"/>
    <col min="13530" max="13530" width="23.85546875" style="767" customWidth="1"/>
    <col min="13531" max="13782" width="8.85546875" style="767"/>
    <col min="13783" max="13783" width="57.85546875" style="767" customWidth="1"/>
    <col min="13784" max="13784" width="9.85546875" style="767" customWidth="1"/>
    <col min="13785" max="13785" width="11" style="767" customWidth="1"/>
    <col min="13786" max="13786" width="23.85546875" style="767" customWidth="1"/>
    <col min="13787" max="14038" width="8.85546875" style="767"/>
    <col min="14039" max="14039" width="57.85546875" style="767" customWidth="1"/>
    <col min="14040" max="14040" width="9.85546875" style="767" customWidth="1"/>
    <col min="14041" max="14041" width="11" style="767" customWidth="1"/>
    <col min="14042" max="14042" width="23.85546875" style="767" customWidth="1"/>
    <col min="14043" max="14294" width="8.85546875" style="767"/>
    <col min="14295" max="14295" width="57.85546875" style="767" customWidth="1"/>
    <col min="14296" max="14296" width="9.85546875" style="767" customWidth="1"/>
    <col min="14297" max="14297" width="11" style="767" customWidth="1"/>
    <col min="14298" max="14298" width="23.85546875" style="767" customWidth="1"/>
    <col min="14299" max="14550" width="8.85546875" style="767"/>
    <col min="14551" max="14551" width="57.85546875" style="767" customWidth="1"/>
    <col min="14552" max="14552" width="9.85546875" style="767" customWidth="1"/>
    <col min="14553" max="14553" width="11" style="767" customWidth="1"/>
    <col min="14554" max="14554" width="23.85546875" style="767" customWidth="1"/>
    <col min="14555" max="14806" width="8.85546875" style="767"/>
    <col min="14807" max="14807" width="57.85546875" style="767" customWidth="1"/>
    <col min="14808" max="14808" width="9.85546875" style="767" customWidth="1"/>
    <col min="14809" max="14809" width="11" style="767" customWidth="1"/>
    <col min="14810" max="14810" width="23.85546875" style="767" customWidth="1"/>
    <col min="14811" max="15062" width="8.85546875" style="767"/>
    <col min="15063" max="15063" width="57.85546875" style="767" customWidth="1"/>
    <col min="15064" max="15064" width="9.85546875" style="767" customWidth="1"/>
    <col min="15065" max="15065" width="11" style="767" customWidth="1"/>
    <col min="15066" max="15066" width="23.85546875" style="767" customWidth="1"/>
    <col min="15067" max="15318" width="8.85546875" style="767"/>
    <col min="15319" max="15319" width="57.85546875" style="767" customWidth="1"/>
    <col min="15320" max="15320" width="9.85546875" style="767" customWidth="1"/>
    <col min="15321" max="15321" width="11" style="767" customWidth="1"/>
    <col min="15322" max="15322" width="23.85546875" style="767" customWidth="1"/>
    <col min="15323" max="15574" width="8.85546875" style="767"/>
    <col min="15575" max="15575" width="57.85546875" style="767" customWidth="1"/>
    <col min="15576" max="15576" width="9.85546875" style="767" customWidth="1"/>
    <col min="15577" max="15577" width="11" style="767" customWidth="1"/>
    <col min="15578" max="15578" width="23.85546875" style="767" customWidth="1"/>
    <col min="15579" max="15830" width="8.85546875" style="767"/>
    <col min="15831" max="15831" width="57.85546875" style="767" customWidth="1"/>
    <col min="15832" max="15832" width="9.85546875" style="767" customWidth="1"/>
    <col min="15833" max="15833" width="11" style="767" customWidth="1"/>
    <col min="15834" max="15834" width="23.85546875" style="767" customWidth="1"/>
    <col min="15835" max="16086" width="8.85546875" style="767"/>
    <col min="16087" max="16087" width="57.85546875" style="767" customWidth="1"/>
    <col min="16088" max="16088" width="9.85546875" style="767" customWidth="1"/>
    <col min="16089" max="16089" width="11" style="767" customWidth="1"/>
    <col min="16090" max="16090" width="23.85546875" style="767" customWidth="1"/>
    <col min="16091" max="16384" width="8.85546875" style="767"/>
  </cols>
  <sheetData>
    <row r="1" spans="1:8" x14ac:dyDescent="0.25">
      <c r="C1" s="766"/>
      <c r="H1" s="936" t="s">
        <v>203</v>
      </c>
    </row>
    <row r="2" spans="1:8" ht="18.75" x14ac:dyDescent="0.3">
      <c r="A2" s="916" t="s">
        <v>746</v>
      </c>
      <c r="B2" s="916"/>
      <c r="C2" s="916"/>
    </row>
    <row r="3" spans="1:8" ht="15.75" customHeight="1" x14ac:dyDescent="0.25">
      <c r="A3" s="917" t="s">
        <v>125</v>
      </c>
      <c r="B3" s="919" t="s">
        <v>638</v>
      </c>
      <c r="C3" s="921" t="s">
        <v>126</v>
      </c>
      <c r="D3" s="922"/>
      <c r="E3" s="922"/>
      <c r="F3" s="922"/>
      <c r="G3" s="922"/>
      <c r="H3" s="923"/>
    </row>
    <row r="4" spans="1:8" ht="26.25" customHeight="1" x14ac:dyDescent="0.25">
      <c r="A4" s="918"/>
      <c r="B4" s="920"/>
      <c r="C4" s="768">
        <v>1100</v>
      </c>
      <c r="D4" s="768">
        <v>2200</v>
      </c>
      <c r="E4" s="768">
        <v>2500</v>
      </c>
      <c r="F4" s="768">
        <v>2300</v>
      </c>
      <c r="G4" s="768">
        <v>3200</v>
      </c>
      <c r="H4" s="768">
        <v>6400</v>
      </c>
    </row>
    <row r="5" spans="1:8" ht="31.5" x14ac:dyDescent="0.25">
      <c r="A5" s="455" t="s">
        <v>773</v>
      </c>
      <c r="B5" s="696">
        <f t="shared" ref="B5:B15" si="0">SUM(C5:H5)</f>
        <v>3500</v>
      </c>
      <c r="C5" s="697"/>
      <c r="D5" s="697"/>
      <c r="E5" s="697"/>
      <c r="F5" s="697">
        <v>500</v>
      </c>
      <c r="G5" s="697"/>
      <c r="H5" s="697">
        <v>3000</v>
      </c>
    </row>
    <row r="6" spans="1:8" ht="31.5" x14ac:dyDescent="0.25">
      <c r="A6" s="455" t="s">
        <v>774</v>
      </c>
      <c r="B6" s="696">
        <f t="shared" si="0"/>
        <v>17000</v>
      </c>
      <c r="C6" s="697"/>
      <c r="D6" s="697">
        <v>6000</v>
      </c>
      <c r="E6" s="697"/>
      <c r="F6" s="697">
        <v>1000</v>
      </c>
      <c r="G6" s="697"/>
      <c r="H6" s="697">
        <v>10000</v>
      </c>
    </row>
    <row r="7" spans="1:8" ht="31.5" x14ac:dyDescent="0.25">
      <c r="A7" s="455" t="s">
        <v>775</v>
      </c>
      <c r="B7" s="696">
        <f>SUM(C7:H7)</f>
        <v>7800</v>
      </c>
      <c r="C7" s="697"/>
      <c r="D7" s="697"/>
      <c r="E7" s="697"/>
      <c r="F7" s="697">
        <v>1300</v>
      </c>
      <c r="G7" s="697"/>
      <c r="H7" s="697">
        <v>6500</v>
      </c>
    </row>
    <row r="8" spans="1:8" ht="31.5" x14ac:dyDescent="0.25">
      <c r="A8" s="455" t="s">
        <v>776</v>
      </c>
      <c r="B8" s="696">
        <f t="shared" si="0"/>
        <v>1000</v>
      </c>
      <c r="C8" s="697"/>
      <c r="D8" s="697"/>
      <c r="E8" s="697"/>
      <c r="F8" s="697"/>
      <c r="G8" s="697"/>
      <c r="H8" s="697">
        <v>1000</v>
      </c>
    </row>
    <row r="9" spans="1:8" ht="31.5" x14ac:dyDescent="0.25">
      <c r="A9" s="455" t="s">
        <v>777</v>
      </c>
      <c r="B9" s="696">
        <f t="shared" si="0"/>
        <v>1950</v>
      </c>
      <c r="C9" s="697"/>
      <c r="D9" s="697"/>
      <c r="E9" s="697"/>
      <c r="F9" s="697"/>
      <c r="G9" s="697"/>
      <c r="H9" s="697">
        <v>1950</v>
      </c>
    </row>
    <row r="10" spans="1:8" ht="31.5" x14ac:dyDescent="0.25">
      <c r="A10" s="455" t="s">
        <v>778</v>
      </c>
      <c r="B10" s="696">
        <f t="shared" si="0"/>
        <v>12000</v>
      </c>
      <c r="C10" s="697"/>
      <c r="D10" s="697">
        <v>10000</v>
      </c>
      <c r="E10" s="697"/>
      <c r="F10" s="697">
        <v>2000</v>
      </c>
      <c r="G10" s="697"/>
      <c r="H10" s="697"/>
    </row>
    <row r="11" spans="1:8" ht="47.25" x14ac:dyDescent="0.25">
      <c r="A11" s="455" t="s">
        <v>779</v>
      </c>
      <c r="B11" s="696">
        <f t="shared" si="0"/>
        <v>7000</v>
      </c>
      <c r="C11" s="697"/>
      <c r="D11" s="697"/>
      <c r="E11" s="697"/>
      <c r="F11" s="697"/>
      <c r="G11" s="697"/>
      <c r="H11" s="697">
        <v>7000</v>
      </c>
    </row>
    <row r="12" spans="1:8" x14ac:dyDescent="0.25">
      <c r="A12" s="455" t="s">
        <v>780</v>
      </c>
      <c r="B12" s="696">
        <f t="shared" si="0"/>
        <v>4000</v>
      </c>
      <c r="C12" s="697"/>
      <c r="D12" s="697"/>
      <c r="E12" s="697"/>
      <c r="F12" s="697">
        <v>4000</v>
      </c>
      <c r="G12" s="697"/>
      <c r="H12" s="697"/>
    </row>
    <row r="13" spans="1:8" x14ac:dyDescent="0.25">
      <c r="A13" s="455" t="s">
        <v>577</v>
      </c>
      <c r="B13" s="696">
        <f t="shared" si="0"/>
        <v>4000</v>
      </c>
      <c r="C13" s="697"/>
      <c r="D13" s="697"/>
      <c r="E13" s="697"/>
      <c r="F13" s="697">
        <v>4000</v>
      </c>
      <c r="G13" s="697"/>
      <c r="H13" s="697"/>
    </row>
    <row r="14" spans="1:8" x14ac:dyDescent="0.25">
      <c r="A14" s="455" t="s">
        <v>539</v>
      </c>
      <c r="B14" s="696">
        <f t="shared" si="0"/>
        <v>1000</v>
      </c>
      <c r="C14" s="697"/>
      <c r="D14" s="697"/>
      <c r="E14" s="697"/>
      <c r="F14" s="697">
        <v>1000</v>
      </c>
      <c r="G14" s="697"/>
      <c r="H14" s="697"/>
    </row>
    <row r="15" spans="1:8" ht="47.25" x14ac:dyDescent="0.25">
      <c r="A15" s="455" t="s">
        <v>781</v>
      </c>
      <c r="B15" s="696">
        <f t="shared" si="0"/>
        <v>28500</v>
      </c>
      <c r="C15" s="697">
        <v>1000</v>
      </c>
      <c r="D15" s="697">
        <v>10000</v>
      </c>
      <c r="E15" s="697"/>
      <c r="F15" s="697">
        <v>3500</v>
      </c>
      <c r="G15" s="697"/>
      <c r="H15" s="697">
        <v>14000</v>
      </c>
    </row>
    <row r="16" spans="1:8" ht="47.25" x14ac:dyDescent="0.25">
      <c r="A16" s="455" t="s">
        <v>782</v>
      </c>
      <c r="B16" s="696">
        <f>SUM(C16:H16)</f>
        <v>6000</v>
      </c>
      <c r="C16" s="697"/>
      <c r="D16" s="697"/>
      <c r="E16" s="697"/>
      <c r="F16" s="697">
        <v>6000</v>
      </c>
      <c r="G16" s="697"/>
      <c r="H16" s="697"/>
    </row>
    <row r="17" spans="1:8" x14ac:dyDescent="0.25">
      <c r="A17" s="698" t="s">
        <v>783</v>
      </c>
      <c r="B17" s="699">
        <f t="shared" ref="B17" si="1">SUM(C17:H17)</f>
        <v>48000</v>
      </c>
      <c r="C17" s="700"/>
      <c r="D17" s="700">
        <f>5000+7827</f>
        <v>12827</v>
      </c>
      <c r="E17" s="700">
        <v>28</v>
      </c>
      <c r="F17" s="700">
        <v>5000</v>
      </c>
      <c r="G17" s="700">
        <f>43000-12855</f>
        <v>30145</v>
      </c>
      <c r="H17" s="700"/>
    </row>
    <row r="18" spans="1:8" x14ac:dyDescent="0.25">
      <c r="A18" s="770" t="s">
        <v>130</v>
      </c>
      <c r="B18" s="771">
        <f t="shared" ref="B18:H18" si="2">SUM(B5:B17)</f>
        <v>141750</v>
      </c>
      <c r="C18" s="771">
        <f t="shared" si="2"/>
        <v>1000</v>
      </c>
      <c r="D18" s="771">
        <f t="shared" si="2"/>
        <v>38827</v>
      </c>
      <c r="E18" s="771">
        <f t="shared" si="2"/>
        <v>28</v>
      </c>
      <c r="F18" s="771">
        <f t="shared" si="2"/>
        <v>28300</v>
      </c>
      <c r="G18" s="771">
        <f t="shared" si="2"/>
        <v>30145</v>
      </c>
      <c r="H18" s="771">
        <f t="shared" si="2"/>
        <v>43450</v>
      </c>
    </row>
    <row r="19" spans="1:8" x14ac:dyDescent="0.25">
      <c r="B19" s="772"/>
    </row>
    <row r="20" spans="1:8" x14ac:dyDescent="0.25">
      <c r="A20" s="773"/>
      <c r="B20" s="766"/>
    </row>
    <row r="21" spans="1:8" x14ac:dyDescent="0.25">
      <c r="C21" s="772"/>
    </row>
    <row r="22" spans="1:8" x14ac:dyDescent="0.25">
      <c r="B22" s="766"/>
      <c r="C22" s="766"/>
    </row>
    <row r="23" spans="1:8" ht="18.75" x14ac:dyDescent="0.3">
      <c r="A23" s="916" t="s">
        <v>747</v>
      </c>
      <c r="B23" s="916"/>
      <c r="C23" s="916"/>
    </row>
    <row r="24" spans="1:8" x14ac:dyDescent="0.25">
      <c r="A24" s="917" t="s">
        <v>125</v>
      </c>
      <c r="B24" s="919" t="s">
        <v>638</v>
      </c>
      <c r="C24" s="921" t="s">
        <v>126</v>
      </c>
      <c r="D24" s="922"/>
      <c r="E24" s="922"/>
      <c r="F24" s="922"/>
      <c r="G24" s="922"/>
      <c r="H24" s="923"/>
    </row>
    <row r="25" spans="1:8" x14ac:dyDescent="0.25">
      <c r="A25" s="918"/>
      <c r="B25" s="920"/>
      <c r="C25" s="768">
        <v>1100</v>
      </c>
      <c r="D25" s="768">
        <v>2200</v>
      </c>
      <c r="E25" s="768"/>
      <c r="F25" s="768">
        <v>2300</v>
      </c>
      <c r="G25" s="768">
        <v>3200</v>
      </c>
      <c r="H25" s="768">
        <v>6400</v>
      </c>
    </row>
    <row r="26" spans="1:8" x14ac:dyDescent="0.25">
      <c r="A26" s="455" t="s">
        <v>639</v>
      </c>
      <c r="B26" s="696">
        <f t="shared" ref="B26:B29" si="3">SUM(C26:H26)</f>
        <v>21000</v>
      </c>
      <c r="C26" s="697"/>
      <c r="D26" s="697"/>
      <c r="E26" s="697"/>
      <c r="F26" s="697">
        <v>21000</v>
      </c>
      <c r="G26" s="697"/>
      <c r="H26" s="697"/>
    </row>
    <row r="27" spans="1:8" x14ac:dyDescent="0.25">
      <c r="A27" s="455" t="s">
        <v>749</v>
      </c>
      <c r="B27" s="696">
        <f t="shared" si="3"/>
        <v>11000</v>
      </c>
      <c r="C27" s="697"/>
      <c r="D27" s="697">
        <v>11000</v>
      </c>
      <c r="E27" s="697"/>
      <c r="F27" s="697"/>
      <c r="G27" s="697"/>
      <c r="H27" s="697"/>
    </row>
    <row r="28" spans="1:8" ht="31.5" x14ac:dyDescent="0.25">
      <c r="A28" s="455" t="s">
        <v>748</v>
      </c>
      <c r="B28" s="696">
        <f t="shared" si="3"/>
        <v>8050</v>
      </c>
      <c r="C28" s="697"/>
      <c r="D28" s="697">
        <v>4000</v>
      </c>
      <c r="E28" s="697"/>
      <c r="F28" s="697">
        <v>4050</v>
      </c>
      <c r="G28" s="697"/>
      <c r="H28" s="697"/>
    </row>
    <row r="29" spans="1:8" x14ac:dyDescent="0.25">
      <c r="A29" s="455" t="s">
        <v>889</v>
      </c>
      <c r="B29" s="696">
        <f t="shared" si="3"/>
        <v>10000</v>
      </c>
      <c r="C29" s="697"/>
      <c r="D29" s="697"/>
      <c r="E29" s="697"/>
      <c r="F29" s="697">
        <v>10000</v>
      </c>
      <c r="G29" s="697"/>
      <c r="H29" s="697"/>
    </row>
    <row r="30" spans="1:8" ht="31.5" x14ac:dyDescent="0.25">
      <c r="A30" s="455" t="s">
        <v>713</v>
      </c>
      <c r="B30" s="696">
        <f>SUM(C30:H30)</f>
        <v>8100</v>
      </c>
      <c r="C30" s="697">
        <v>8100</v>
      </c>
      <c r="D30" s="697"/>
      <c r="E30" s="697"/>
      <c r="F30" s="697"/>
      <c r="G30" s="697"/>
      <c r="H30" s="697"/>
    </row>
    <row r="31" spans="1:8" x14ac:dyDescent="0.25">
      <c r="A31" s="206" t="s">
        <v>640</v>
      </c>
      <c r="B31" s="696">
        <f t="shared" ref="B31:B33" si="4">SUM(C31:H31)</f>
        <v>47200</v>
      </c>
      <c r="C31" s="697">
        <v>2000</v>
      </c>
      <c r="D31" s="697">
        <v>29200</v>
      </c>
      <c r="E31" s="697"/>
      <c r="F31" s="697">
        <v>16000</v>
      </c>
      <c r="G31" s="697"/>
      <c r="H31" s="697"/>
    </row>
    <row r="32" spans="1:8" x14ac:dyDescent="0.25">
      <c r="A32" s="206" t="s">
        <v>750</v>
      </c>
      <c r="B32" s="696">
        <f t="shared" si="4"/>
        <v>3500</v>
      </c>
      <c r="C32" s="697"/>
      <c r="D32" s="697">
        <v>3500</v>
      </c>
      <c r="E32" s="697"/>
      <c r="F32" s="697"/>
      <c r="G32" s="697"/>
      <c r="H32" s="697"/>
    </row>
    <row r="33" spans="1:8" ht="31.5" x14ac:dyDescent="0.25">
      <c r="A33" s="769" t="s">
        <v>850</v>
      </c>
      <c r="B33" s="696">
        <f t="shared" si="4"/>
        <v>11980</v>
      </c>
      <c r="C33" s="697"/>
      <c r="D33" s="697">
        <v>11980</v>
      </c>
      <c r="E33" s="697"/>
      <c r="F33" s="697"/>
      <c r="G33" s="697"/>
      <c r="H33" s="697"/>
    </row>
    <row r="34" spans="1:8" x14ac:dyDescent="0.25">
      <c r="A34" s="770" t="s">
        <v>130</v>
      </c>
      <c r="B34" s="771">
        <f t="shared" ref="B34:H34" si="5">SUM(B26:B33)</f>
        <v>120830</v>
      </c>
      <c r="C34" s="771">
        <f t="shared" si="5"/>
        <v>10100</v>
      </c>
      <c r="D34" s="771">
        <f t="shared" si="5"/>
        <v>59680</v>
      </c>
      <c r="E34" s="771">
        <f t="shared" si="5"/>
        <v>0</v>
      </c>
      <c r="F34" s="771">
        <f t="shared" si="5"/>
        <v>51050</v>
      </c>
      <c r="G34" s="771">
        <f t="shared" si="5"/>
        <v>0</v>
      </c>
      <c r="H34" s="771">
        <f t="shared" si="5"/>
        <v>0</v>
      </c>
    </row>
  </sheetData>
  <mergeCells count="8">
    <mergeCell ref="A2:C2"/>
    <mergeCell ref="A23:C23"/>
    <mergeCell ref="A24:A25"/>
    <mergeCell ref="B24:B25"/>
    <mergeCell ref="C24:H24"/>
    <mergeCell ref="A3:A4"/>
    <mergeCell ref="B3:B4"/>
    <mergeCell ref="C3:H3"/>
  </mergeCells>
  <pageMargins left="0.7" right="0.7" top="0.75" bottom="0.75" header="0.3" footer="0.3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zoomScale="88" zoomScaleNormal="88" workbookViewId="0">
      <selection activeCell="O7" sqref="O7"/>
    </sheetView>
  </sheetViews>
  <sheetFormatPr defaultColWidth="9.140625" defaultRowHeight="12.75" x14ac:dyDescent="0.2"/>
  <cols>
    <col min="1" max="1" width="5.5703125" style="19" customWidth="1"/>
    <col min="2" max="2" width="39.140625" style="19" customWidth="1"/>
    <col min="3" max="3" width="17" style="19" customWidth="1"/>
    <col min="4" max="9" width="9.140625" style="19"/>
    <col min="10" max="10" width="10.85546875" style="19" customWidth="1"/>
    <col min="11" max="16384" width="9.140625" style="19"/>
  </cols>
  <sheetData>
    <row r="1" spans="1:10" ht="15.75" x14ac:dyDescent="0.25">
      <c r="A1" s="924" t="s">
        <v>42</v>
      </c>
      <c r="B1" s="924"/>
      <c r="C1" s="924"/>
      <c r="D1" s="924"/>
      <c r="E1" s="740"/>
      <c r="G1" s="347"/>
      <c r="H1" s="347"/>
      <c r="I1" s="347"/>
      <c r="J1" s="937" t="s">
        <v>203</v>
      </c>
    </row>
    <row r="2" spans="1:10" ht="15.75" x14ac:dyDescent="0.25">
      <c r="A2" s="925" t="s">
        <v>726</v>
      </c>
      <c r="B2" s="925"/>
      <c r="C2" s="925"/>
      <c r="D2" s="925"/>
      <c r="E2" s="741"/>
      <c r="F2" s="348"/>
      <c r="G2" s="348"/>
      <c r="H2" s="348"/>
      <c r="I2" s="347"/>
      <c r="J2" s="347"/>
    </row>
    <row r="3" spans="1:10" ht="15.75" x14ac:dyDescent="0.25">
      <c r="A3" s="926" t="s">
        <v>754</v>
      </c>
      <c r="B3" s="926"/>
      <c r="C3" s="926"/>
      <c r="D3" s="926"/>
      <c r="E3" s="701"/>
      <c r="F3" s="349"/>
      <c r="G3" s="349"/>
      <c r="H3" s="349"/>
      <c r="I3" s="347"/>
      <c r="J3" s="347"/>
    </row>
    <row r="4" spans="1:10" ht="15.75" x14ac:dyDescent="0.25">
      <c r="A4" s="348" t="s">
        <v>181</v>
      </c>
      <c r="B4" s="348"/>
      <c r="C4" s="709"/>
      <c r="D4" s="348"/>
      <c r="E4" s="348"/>
      <c r="F4" s="350"/>
      <c r="G4" s="350"/>
      <c r="H4" s="350"/>
      <c r="I4" s="347"/>
      <c r="J4" s="347"/>
    </row>
    <row r="5" spans="1:10" ht="15.75" x14ac:dyDescent="0.25">
      <c r="A5" s="927"/>
      <c r="B5" s="927"/>
      <c r="C5" s="927"/>
      <c r="D5" s="927"/>
      <c r="E5" s="742"/>
      <c r="F5" s="149"/>
      <c r="G5" s="149"/>
      <c r="H5" s="149"/>
      <c r="I5" s="347"/>
      <c r="J5" s="347"/>
    </row>
    <row r="6" spans="1:10" ht="15.75" x14ac:dyDescent="0.25">
      <c r="A6" s="347"/>
      <c r="B6" s="928" t="s">
        <v>793</v>
      </c>
      <c r="C6" s="928"/>
      <c r="D6" s="928"/>
      <c r="E6" s="928"/>
      <c r="F6" s="928"/>
      <c r="G6" s="928"/>
      <c r="H6" s="928"/>
      <c r="I6" s="928"/>
      <c r="J6" s="743"/>
    </row>
    <row r="7" spans="1:10" ht="29.25" x14ac:dyDescent="0.25">
      <c r="A7" s="710" t="s">
        <v>350</v>
      </c>
      <c r="B7" s="711"/>
      <c r="C7" s="712"/>
      <c r="D7" s="713">
        <v>2231</v>
      </c>
      <c r="E7" s="714">
        <v>2239</v>
      </c>
      <c r="F7" s="714">
        <v>2233</v>
      </c>
      <c r="G7" s="714">
        <v>2261</v>
      </c>
      <c r="H7" s="714">
        <v>2314</v>
      </c>
      <c r="I7" s="714">
        <v>3263</v>
      </c>
      <c r="J7" s="715">
        <v>2026</v>
      </c>
    </row>
    <row r="8" spans="1:10" ht="24.75" customHeight="1" x14ac:dyDescent="0.2">
      <c r="A8" s="716"/>
      <c r="B8" s="717" t="s">
        <v>351</v>
      </c>
      <c r="C8" s="712"/>
      <c r="D8" s="718" t="s">
        <v>540</v>
      </c>
      <c r="E8" s="719" t="s">
        <v>541</v>
      </c>
      <c r="F8" s="719" t="s">
        <v>542</v>
      </c>
      <c r="G8" s="719" t="s">
        <v>352</v>
      </c>
      <c r="H8" s="719" t="s">
        <v>794</v>
      </c>
      <c r="I8" s="719" t="s">
        <v>543</v>
      </c>
      <c r="J8" s="720"/>
    </row>
    <row r="9" spans="1:10" ht="16.5" customHeight="1" x14ac:dyDescent="0.25">
      <c r="A9" s="637">
        <v>1</v>
      </c>
      <c r="B9" s="441" t="s">
        <v>918</v>
      </c>
      <c r="C9" s="443" t="s">
        <v>86</v>
      </c>
      <c r="D9" s="441"/>
      <c r="E9" s="441"/>
      <c r="F9" s="441"/>
      <c r="G9" s="441"/>
      <c r="H9" s="441"/>
      <c r="I9" s="637">
        <v>486860</v>
      </c>
      <c r="J9" s="828">
        <f t="shared" ref="J9:J74" si="0">SUM(D9:I9)</f>
        <v>486860</v>
      </c>
    </row>
    <row r="10" spans="1:10" ht="16.5" customHeight="1" x14ac:dyDescent="0.25">
      <c r="A10" s="637">
        <v>2</v>
      </c>
      <c r="B10" s="441" t="s">
        <v>376</v>
      </c>
      <c r="C10" s="443" t="s">
        <v>58</v>
      </c>
      <c r="D10" s="441"/>
      <c r="E10" s="441"/>
      <c r="F10" s="441"/>
      <c r="G10" s="441"/>
      <c r="H10" s="441"/>
      <c r="I10" s="637">
        <v>8000</v>
      </c>
      <c r="J10" s="828">
        <f t="shared" si="0"/>
        <v>8000</v>
      </c>
    </row>
    <row r="11" spans="1:10" ht="16.5" customHeight="1" x14ac:dyDescent="0.25">
      <c r="A11" s="637">
        <v>3</v>
      </c>
      <c r="B11" s="441" t="s">
        <v>896</v>
      </c>
      <c r="C11" s="443" t="s">
        <v>54</v>
      </c>
      <c r="D11" s="441"/>
      <c r="E11" s="441"/>
      <c r="F11" s="441"/>
      <c r="G11" s="441"/>
      <c r="H11" s="441"/>
      <c r="I11" s="637">
        <v>55000</v>
      </c>
      <c r="J11" s="828">
        <f t="shared" si="0"/>
        <v>55000</v>
      </c>
    </row>
    <row r="12" spans="1:10" ht="16.5" customHeight="1" x14ac:dyDescent="0.25">
      <c r="A12" s="637">
        <v>4</v>
      </c>
      <c r="B12" s="441" t="s">
        <v>377</v>
      </c>
      <c r="C12" s="443" t="s">
        <v>43</v>
      </c>
      <c r="D12" s="441"/>
      <c r="E12" s="441"/>
      <c r="F12" s="441"/>
      <c r="G12" s="441"/>
      <c r="H12" s="441"/>
      <c r="I12" s="637">
        <v>4800</v>
      </c>
      <c r="J12" s="828">
        <f t="shared" si="0"/>
        <v>4800</v>
      </c>
    </row>
    <row r="13" spans="1:10" ht="16.5" customHeight="1" x14ac:dyDescent="0.25">
      <c r="A13" s="637">
        <v>5</v>
      </c>
      <c r="B13" s="441" t="s">
        <v>378</v>
      </c>
      <c r="C13" s="443" t="s">
        <v>52</v>
      </c>
      <c r="D13" s="441"/>
      <c r="E13" s="637"/>
      <c r="F13" s="441"/>
      <c r="G13" s="639">
        <v>36250</v>
      </c>
      <c r="H13" s="441"/>
      <c r="I13" s="441"/>
      <c r="J13" s="828">
        <f t="shared" si="0"/>
        <v>36250</v>
      </c>
    </row>
    <row r="14" spans="1:10" ht="16.5" customHeight="1" x14ac:dyDescent="0.25">
      <c r="A14" s="637">
        <v>6</v>
      </c>
      <c r="B14" s="441" t="s">
        <v>917</v>
      </c>
      <c r="C14" s="443" t="s">
        <v>52</v>
      </c>
      <c r="D14" s="441"/>
      <c r="E14" s="637"/>
      <c r="F14" s="441"/>
      <c r="G14" s="639"/>
      <c r="H14" s="441"/>
      <c r="I14" s="639">
        <v>27500</v>
      </c>
      <c r="J14" s="828">
        <f t="shared" si="0"/>
        <v>27500</v>
      </c>
    </row>
    <row r="15" spans="1:10" ht="16.5" customHeight="1" x14ac:dyDescent="0.25">
      <c r="A15" s="637">
        <v>7</v>
      </c>
      <c r="B15" s="441" t="s">
        <v>644</v>
      </c>
      <c r="C15" s="443" t="s">
        <v>52</v>
      </c>
      <c r="D15" s="441"/>
      <c r="E15" s="637"/>
      <c r="F15" s="441"/>
      <c r="G15" s="639"/>
      <c r="H15" s="441"/>
      <c r="I15" s="639">
        <v>16250</v>
      </c>
      <c r="J15" s="828">
        <f t="shared" si="0"/>
        <v>16250</v>
      </c>
    </row>
    <row r="16" spans="1:10" ht="16.5" customHeight="1" x14ac:dyDescent="0.25">
      <c r="A16" s="637">
        <v>8</v>
      </c>
      <c r="B16" s="441" t="s">
        <v>379</v>
      </c>
      <c r="C16" s="443" t="s">
        <v>288</v>
      </c>
      <c r="D16" s="441"/>
      <c r="E16" s="637"/>
      <c r="F16" s="441"/>
      <c r="G16" s="441"/>
      <c r="H16" s="441"/>
      <c r="I16" s="441">
        <v>55000</v>
      </c>
      <c r="J16" s="828">
        <f t="shared" si="0"/>
        <v>55000</v>
      </c>
    </row>
    <row r="17" spans="1:10" ht="16.5" customHeight="1" x14ac:dyDescent="0.25">
      <c r="A17" s="637">
        <v>9</v>
      </c>
      <c r="B17" s="441" t="s">
        <v>380</v>
      </c>
      <c r="C17" s="443" t="s">
        <v>58</v>
      </c>
      <c r="D17" s="441"/>
      <c r="E17" s="441"/>
      <c r="F17" s="441"/>
      <c r="G17" s="441"/>
      <c r="H17" s="441"/>
      <c r="I17" s="721">
        <v>59400</v>
      </c>
      <c r="J17" s="828">
        <f t="shared" si="0"/>
        <v>59400</v>
      </c>
    </row>
    <row r="18" spans="1:10" ht="16.5" customHeight="1" x14ac:dyDescent="0.25">
      <c r="A18" s="637">
        <v>10</v>
      </c>
      <c r="B18" s="441" t="s">
        <v>382</v>
      </c>
      <c r="C18" s="443" t="s">
        <v>795</v>
      </c>
      <c r="D18" s="441"/>
      <c r="E18" s="441"/>
      <c r="F18" s="441"/>
      <c r="G18" s="441"/>
      <c r="H18" s="441"/>
      <c r="I18" s="721">
        <v>2100</v>
      </c>
      <c r="J18" s="828">
        <f t="shared" si="0"/>
        <v>2100</v>
      </c>
    </row>
    <row r="19" spans="1:10" ht="16.5" customHeight="1" x14ac:dyDescent="0.25">
      <c r="A19" s="637">
        <v>11</v>
      </c>
      <c r="B19" s="639" t="s">
        <v>796</v>
      </c>
      <c r="C19" s="722" t="s">
        <v>797</v>
      </c>
      <c r="D19" s="639">
        <v>1450</v>
      </c>
      <c r="E19" s="639"/>
      <c r="F19" s="639"/>
      <c r="G19" s="639"/>
      <c r="H19" s="639"/>
      <c r="I19" s="639">
        <v>1450</v>
      </c>
      <c r="J19" s="828">
        <f t="shared" si="0"/>
        <v>2900</v>
      </c>
    </row>
    <row r="20" spans="1:10" ht="16.5" customHeight="1" x14ac:dyDescent="0.25">
      <c r="A20" s="637">
        <v>12</v>
      </c>
      <c r="B20" s="830" t="s">
        <v>798</v>
      </c>
      <c r="C20" s="443" t="s">
        <v>797</v>
      </c>
      <c r="D20" s="441"/>
      <c r="E20" s="441"/>
      <c r="F20" s="441"/>
      <c r="G20" s="441"/>
      <c r="H20" s="441"/>
      <c r="I20" s="721">
        <v>1600</v>
      </c>
      <c r="J20" s="828">
        <f t="shared" si="0"/>
        <v>1600</v>
      </c>
    </row>
    <row r="21" spans="1:10" ht="16.5" customHeight="1" x14ac:dyDescent="0.25">
      <c r="A21" s="637">
        <v>13</v>
      </c>
      <c r="B21" s="723" t="s">
        <v>381</v>
      </c>
      <c r="C21" s="723" t="s">
        <v>288</v>
      </c>
      <c r="D21" s="441"/>
      <c r="E21" s="441"/>
      <c r="F21" s="441"/>
      <c r="G21" s="441"/>
      <c r="H21" s="441"/>
      <c r="I21" s="721">
        <v>1600</v>
      </c>
      <c r="J21" s="828">
        <f t="shared" si="0"/>
        <v>1600</v>
      </c>
    </row>
    <row r="22" spans="1:10" ht="16.5" customHeight="1" x14ac:dyDescent="0.25">
      <c r="A22" s="637"/>
      <c r="B22" s="442" t="s">
        <v>353</v>
      </c>
      <c r="C22" s="443"/>
      <c r="D22" s="441"/>
      <c r="E22" s="441"/>
      <c r="F22" s="441"/>
      <c r="G22" s="441"/>
      <c r="H22" s="441"/>
      <c r="I22" s="441"/>
      <c r="J22" s="828"/>
    </row>
    <row r="23" spans="1:10" ht="16.5" customHeight="1" x14ac:dyDescent="0.25">
      <c r="A23" s="637">
        <v>1</v>
      </c>
      <c r="B23" s="441" t="s">
        <v>897</v>
      </c>
      <c r="C23" s="443" t="s">
        <v>799</v>
      </c>
      <c r="D23" s="441"/>
      <c r="E23" s="441"/>
      <c r="F23" s="441"/>
      <c r="G23" s="441"/>
      <c r="H23" s="441"/>
      <c r="I23" s="637">
        <v>2100</v>
      </c>
      <c r="J23" s="828">
        <f t="shared" si="0"/>
        <v>2100</v>
      </c>
    </row>
    <row r="24" spans="1:10" ht="16.5" customHeight="1" x14ac:dyDescent="0.25">
      <c r="A24" s="637">
        <v>2</v>
      </c>
      <c r="B24" s="441" t="s">
        <v>383</v>
      </c>
      <c r="C24" s="443" t="s">
        <v>98</v>
      </c>
      <c r="D24" s="441"/>
      <c r="E24" s="441"/>
      <c r="F24" s="441"/>
      <c r="G24" s="441"/>
      <c r="H24" s="441"/>
      <c r="I24" s="637">
        <v>2100</v>
      </c>
      <c r="J24" s="828">
        <f t="shared" si="0"/>
        <v>2100</v>
      </c>
    </row>
    <row r="25" spans="1:10" ht="16.5" customHeight="1" x14ac:dyDescent="0.25">
      <c r="A25" s="637">
        <v>3</v>
      </c>
      <c r="B25" s="441" t="s">
        <v>384</v>
      </c>
      <c r="C25" s="443" t="s">
        <v>87</v>
      </c>
      <c r="D25" s="441"/>
      <c r="E25" s="441"/>
      <c r="F25" s="441"/>
      <c r="G25" s="441"/>
      <c r="H25" s="441"/>
      <c r="I25" s="637">
        <v>1600</v>
      </c>
      <c r="J25" s="828">
        <f t="shared" si="0"/>
        <v>1600</v>
      </c>
    </row>
    <row r="26" spans="1:10" ht="16.5" customHeight="1" x14ac:dyDescent="0.25">
      <c r="A26" s="637">
        <v>4</v>
      </c>
      <c r="B26" s="441" t="s">
        <v>385</v>
      </c>
      <c r="C26" s="443" t="s">
        <v>800</v>
      </c>
      <c r="D26" s="441"/>
      <c r="E26" s="637"/>
      <c r="F26" s="441"/>
      <c r="G26" s="441">
        <v>10000</v>
      </c>
      <c r="H26" s="441"/>
      <c r="I26" s="441"/>
      <c r="J26" s="828">
        <f t="shared" si="0"/>
        <v>10000</v>
      </c>
    </row>
    <row r="27" spans="1:10" ht="16.5" customHeight="1" x14ac:dyDescent="0.25">
      <c r="A27" s="637">
        <v>5</v>
      </c>
      <c r="B27" s="441" t="s">
        <v>386</v>
      </c>
      <c r="C27" s="443" t="s">
        <v>80</v>
      </c>
      <c r="D27" s="441"/>
      <c r="E27" s="441"/>
      <c r="F27" s="441"/>
      <c r="G27" s="441"/>
      <c r="H27" s="441"/>
      <c r="I27" s="637">
        <v>2100</v>
      </c>
      <c r="J27" s="828">
        <f t="shared" si="0"/>
        <v>2100</v>
      </c>
    </row>
    <row r="28" spans="1:10" ht="16.5" customHeight="1" x14ac:dyDescent="0.25">
      <c r="A28" s="637">
        <v>6</v>
      </c>
      <c r="B28" s="441" t="s">
        <v>387</v>
      </c>
      <c r="C28" s="443" t="s">
        <v>80</v>
      </c>
      <c r="D28" s="441"/>
      <c r="E28" s="441"/>
      <c r="F28" s="441"/>
      <c r="G28" s="441"/>
      <c r="H28" s="441"/>
      <c r="I28" s="637">
        <v>2100</v>
      </c>
      <c r="J28" s="828">
        <f t="shared" si="0"/>
        <v>2100</v>
      </c>
    </row>
    <row r="29" spans="1:10" ht="16.5" customHeight="1" x14ac:dyDescent="0.25">
      <c r="A29" s="637">
        <v>7</v>
      </c>
      <c r="B29" s="441" t="s">
        <v>388</v>
      </c>
      <c r="C29" s="443" t="s">
        <v>205</v>
      </c>
      <c r="D29" s="441"/>
      <c r="E29" s="441"/>
      <c r="F29" s="441"/>
      <c r="G29" s="441"/>
      <c r="H29" s="441"/>
      <c r="I29" s="637">
        <v>1200</v>
      </c>
      <c r="J29" s="828">
        <f t="shared" si="0"/>
        <v>1200</v>
      </c>
    </row>
    <row r="30" spans="1:10" ht="16.5" customHeight="1" x14ac:dyDescent="0.25">
      <c r="A30" s="637">
        <v>8</v>
      </c>
      <c r="B30" s="441" t="s">
        <v>389</v>
      </c>
      <c r="C30" s="443" t="s">
        <v>801</v>
      </c>
      <c r="D30" s="441"/>
      <c r="E30" s="441"/>
      <c r="F30" s="441"/>
      <c r="G30" s="441"/>
      <c r="H30" s="441"/>
      <c r="I30" s="637">
        <v>1600</v>
      </c>
      <c r="J30" s="828">
        <f t="shared" si="0"/>
        <v>1600</v>
      </c>
    </row>
    <row r="31" spans="1:10" ht="16.5" customHeight="1" x14ac:dyDescent="0.25">
      <c r="A31" s="637">
        <v>9</v>
      </c>
      <c r="B31" s="441" t="s">
        <v>544</v>
      </c>
      <c r="C31" s="443" t="s">
        <v>647</v>
      </c>
      <c r="D31" s="441"/>
      <c r="E31" s="637"/>
      <c r="F31" s="441"/>
      <c r="G31" s="441"/>
      <c r="H31" s="441"/>
      <c r="I31" s="441">
        <v>1600</v>
      </c>
      <c r="J31" s="828">
        <f t="shared" si="0"/>
        <v>1600</v>
      </c>
    </row>
    <row r="32" spans="1:10" ht="16.5" customHeight="1" x14ac:dyDescent="0.25">
      <c r="A32" s="637">
        <v>10</v>
      </c>
      <c r="B32" s="441" t="s">
        <v>390</v>
      </c>
      <c r="C32" s="443" t="s">
        <v>324</v>
      </c>
      <c r="D32" s="441"/>
      <c r="E32" s="637"/>
      <c r="F32" s="441"/>
      <c r="G32" s="441"/>
      <c r="H32" s="441"/>
      <c r="I32" s="441">
        <v>1200</v>
      </c>
      <c r="J32" s="828">
        <f t="shared" si="0"/>
        <v>1200</v>
      </c>
    </row>
    <row r="33" spans="1:10" ht="16.5" customHeight="1" x14ac:dyDescent="0.25">
      <c r="A33" s="637">
        <v>11</v>
      </c>
      <c r="B33" s="441" t="s">
        <v>645</v>
      </c>
      <c r="C33" s="443" t="s">
        <v>646</v>
      </c>
      <c r="D33" s="441"/>
      <c r="E33" s="441"/>
      <c r="F33" s="441"/>
      <c r="G33" s="441"/>
      <c r="H33" s="441"/>
      <c r="I33" s="721">
        <v>1600</v>
      </c>
      <c r="J33" s="828">
        <f t="shared" si="0"/>
        <v>1600</v>
      </c>
    </row>
    <row r="34" spans="1:10" ht="16.5" customHeight="1" x14ac:dyDescent="0.25">
      <c r="A34" s="637"/>
      <c r="B34" s="442" t="s">
        <v>290</v>
      </c>
      <c r="C34" s="443"/>
      <c r="D34" s="441"/>
      <c r="E34" s="441"/>
      <c r="F34" s="441"/>
      <c r="G34" s="441"/>
      <c r="H34" s="441"/>
      <c r="I34" s="441"/>
      <c r="J34" s="828"/>
    </row>
    <row r="35" spans="1:10" ht="16.5" customHeight="1" x14ac:dyDescent="0.25">
      <c r="A35" s="637">
        <v>1</v>
      </c>
      <c r="B35" s="441" t="s">
        <v>354</v>
      </c>
      <c r="C35" s="443" t="s">
        <v>291</v>
      </c>
      <c r="D35" s="441"/>
      <c r="E35" s="637">
        <v>2000</v>
      </c>
      <c r="F35" s="441"/>
      <c r="G35" s="441"/>
      <c r="H35" s="640"/>
      <c r="I35" s="441"/>
      <c r="J35" s="828">
        <f t="shared" si="0"/>
        <v>2000</v>
      </c>
    </row>
    <row r="36" spans="1:10" ht="16.5" customHeight="1" x14ac:dyDescent="0.25">
      <c r="A36" s="637">
        <v>2</v>
      </c>
      <c r="B36" s="638" t="s">
        <v>802</v>
      </c>
      <c r="C36" s="443" t="s">
        <v>81</v>
      </c>
      <c r="D36" s="441">
        <v>2400</v>
      </c>
      <c r="E36" s="637"/>
      <c r="F36" s="441">
        <v>4000</v>
      </c>
      <c r="G36" s="441">
        <v>5000</v>
      </c>
      <c r="H36" s="441">
        <v>15000</v>
      </c>
      <c r="I36" s="441"/>
      <c r="J36" s="828">
        <f t="shared" si="0"/>
        <v>26400</v>
      </c>
    </row>
    <row r="37" spans="1:10" ht="16.5" customHeight="1" x14ac:dyDescent="0.25">
      <c r="A37" s="637">
        <v>3</v>
      </c>
      <c r="B37" s="441" t="s">
        <v>355</v>
      </c>
      <c r="C37" s="443" t="s">
        <v>81</v>
      </c>
      <c r="D37" s="441">
        <v>1200</v>
      </c>
      <c r="E37" s="637"/>
      <c r="F37" s="441"/>
      <c r="G37" s="441"/>
      <c r="H37" s="441">
        <v>3800</v>
      </c>
      <c r="I37" s="441"/>
      <c r="J37" s="828">
        <f t="shared" si="0"/>
        <v>5000</v>
      </c>
    </row>
    <row r="38" spans="1:10" ht="16.5" customHeight="1" x14ac:dyDescent="0.25">
      <c r="A38" s="637">
        <v>4</v>
      </c>
      <c r="B38" s="441" t="s">
        <v>356</v>
      </c>
      <c r="C38" s="443" t="s">
        <v>81</v>
      </c>
      <c r="D38" s="441">
        <v>2000</v>
      </c>
      <c r="E38" s="637">
        <v>1900</v>
      </c>
      <c r="F38" s="637">
        <v>2000</v>
      </c>
      <c r="G38" s="637"/>
      <c r="H38" s="637"/>
      <c r="I38" s="441"/>
      <c r="J38" s="828">
        <f t="shared" si="0"/>
        <v>5900</v>
      </c>
    </row>
    <row r="39" spans="1:10" ht="16.5" customHeight="1" x14ac:dyDescent="0.25">
      <c r="A39" s="637">
        <v>5</v>
      </c>
      <c r="B39" s="441" t="s">
        <v>292</v>
      </c>
      <c r="C39" s="443" t="s">
        <v>81</v>
      </c>
      <c r="D39" s="441">
        <v>5097</v>
      </c>
      <c r="E39" s="724">
        <v>2100</v>
      </c>
      <c r="F39" s="441"/>
      <c r="G39" s="441"/>
      <c r="H39" s="441">
        <v>3000</v>
      </c>
      <c r="I39" s="637">
        <v>1630</v>
      </c>
      <c r="J39" s="828">
        <f t="shared" si="0"/>
        <v>11827</v>
      </c>
    </row>
    <row r="40" spans="1:10" ht="16.5" customHeight="1" x14ac:dyDescent="0.25">
      <c r="A40" s="637">
        <v>6</v>
      </c>
      <c r="B40" s="441" t="s">
        <v>391</v>
      </c>
      <c r="C40" s="443" t="s">
        <v>357</v>
      </c>
      <c r="D40" s="441">
        <v>800</v>
      </c>
      <c r="E40" s="637"/>
      <c r="F40" s="441"/>
      <c r="G40" s="441"/>
      <c r="H40" s="441"/>
      <c r="I40" s="637"/>
      <c r="J40" s="828">
        <f t="shared" si="0"/>
        <v>800</v>
      </c>
    </row>
    <row r="41" spans="1:10" ht="16.5" customHeight="1" x14ac:dyDescent="0.25">
      <c r="A41" s="637">
        <v>7</v>
      </c>
      <c r="B41" s="441" t="s">
        <v>803</v>
      </c>
      <c r="C41" s="443" t="s">
        <v>804</v>
      </c>
      <c r="D41" s="441">
        <v>600</v>
      </c>
      <c r="E41" s="637"/>
      <c r="F41" s="441"/>
      <c r="G41" s="441"/>
      <c r="H41" s="441"/>
      <c r="I41" s="637"/>
      <c r="J41" s="828">
        <f t="shared" si="0"/>
        <v>600</v>
      </c>
    </row>
    <row r="42" spans="1:10" ht="16.5" customHeight="1" x14ac:dyDescent="0.25">
      <c r="A42" s="637"/>
      <c r="B42" s="444" t="s">
        <v>293</v>
      </c>
      <c r="C42" s="443" t="s">
        <v>81</v>
      </c>
      <c r="D42" s="441"/>
      <c r="E42" s="441"/>
      <c r="F42" s="441"/>
      <c r="G42" s="441"/>
      <c r="H42" s="441"/>
      <c r="I42" s="441"/>
      <c r="J42" s="828"/>
    </row>
    <row r="43" spans="1:10" ht="16.5" customHeight="1" x14ac:dyDescent="0.25">
      <c r="A43" s="637" t="s">
        <v>297</v>
      </c>
      <c r="B43" s="441" t="s">
        <v>648</v>
      </c>
      <c r="C43" s="443" t="s">
        <v>80</v>
      </c>
      <c r="D43" s="441"/>
      <c r="E43" s="441"/>
      <c r="F43" s="441"/>
      <c r="G43" s="441"/>
      <c r="H43" s="441"/>
      <c r="I43" s="637">
        <v>1500</v>
      </c>
      <c r="J43" s="828">
        <f t="shared" si="0"/>
        <v>1500</v>
      </c>
    </row>
    <row r="44" spans="1:10" ht="16.5" customHeight="1" x14ac:dyDescent="0.25">
      <c r="A44" s="637" t="s">
        <v>297</v>
      </c>
      <c r="B44" s="441" t="s">
        <v>545</v>
      </c>
      <c r="C44" s="443" t="s">
        <v>80</v>
      </c>
      <c r="D44" s="441"/>
      <c r="E44" s="441"/>
      <c r="F44" s="441"/>
      <c r="G44" s="441"/>
      <c r="H44" s="441"/>
      <c r="I44" s="637">
        <v>1500</v>
      </c>
      <c r="J44" s="828">
        <f t="shared" si="0"/>
        <v>1500</v>
      </c>
    </row>
    <row r="45" spans="1:10" ht="16.5" customHeight="1" x14ac:dyDescent="0.25">
      <c r="A45" s="637" t="s">
        <v>295</v>
      </c>
      <c r="B45" s="441" t="s">
        <v>649</v>
      </c>
      <c r="C45" s="443" t="s">
        <v>80</v>
      </c>
      <c r="D45" s="441"/>
      <c r="E45" s="441"/>
      <c r="F45" s="441"/>
      <c r="G45" s="441"/>
      <c r="H45" s="441"/>
      <c r="I45" s="637">
        <v>500</v>
      </c>
      <c r="J45" s="828">
        <f t="shared" si="0"/>
        <v>500</v>
      </c>
    </row>
    <row r="46" spans="1:10" ht="16.5" customHeight="1" x14ac:dyDescent="0.25">
      <c r="A46" s="637" t="s">
        <v>295</v>
      </c>
      <c r="B46" s="441" t="s">
        <v>546</v>
      </c>
      <c r="C46" s="443" t="s">
        <v>80</v>
      </c>
      <c r="D46" s="441"/>
      <c r="E46" s="441"/>
      <c r="F46" s="441"/>
      <c r="G46" s="441"/>
      <c r="H46" s="441"/>
      <c r="I46" s="637">
        <v>500</v>
      </c>
      <c r="J46" s="828">
        <f t="shared" si="0"/>
        <v>500</v>
      </c>
    </row>
    <row r="47" spans="1:10" ht="16.5" customHeight="1" x14ac:dyDescent="0.25">
      <c r="A47" s="637" t="s">
        <v>294</v>
      </c>
      <c r="B47" s="441" t="s">
        <v>805</v>
      </c>
      <c r="C47" s="443" t="s">
        <v>80</v>
      </c>
      <c r="D47" s="441"/>
      <c r="E47" s="441"/>
      <c r="F47" s="441"/>
      <c r="G47" s="441"/>
      <c r="H47" s="441"/>
      <c r="I47" s="637">
        <v>1000</v>
      </c>
      <c r="J47" s="828">
        <f t="shared" si="0"/>
        <v>1000</v>
      </c>
    </row>
    <row r="48" spans="1:10" ht="16.5" customHeight="1" x14ac:dyDescent="0.25">
      <c r="A48" s="637" t="s">
        <v>297</v>
      </c>
      <c r="B48" s="441" t="s">
        <v>296</v>
      </c>
      <c r="C48" s="443" t="s">
        <v>80</v>
      </c>
      <c r="D48" s="441"/>
      <c r="E48" s="441"/>
      <c r="F48" s="441"/>
      <c r="G48" s="441"/>
      <c r="H48" s="441"/>
      <c r="I48" s="637">
        <v>1500</v>
      </c>
      <c r="J48" s="828">
        <f t="shared" si="0"/>
        <v>1500</v>
      </c>
    </row>
    <row r="49" spans="1:10" ht="16.5" customHeight="1" x14ac:dyDescent="0.25">
      <c r="A49" s="637" t="s">
        <v>294</v>
      </c>
      <c r="B49" s="441" t="s">
        <v>359</v>
      </c>
      <c r="C49" s="443" t="s">
        <v>80</v>
      </c>
      <c r="D49" s="441"/>
      <c r="E49" s="441"/>
      <c r="F49" s="441"/>
      <c r="G49" s="441"/>
      <c r="H49" s="441"/>
      <c r="I49" s="637">
        <v>1000</v>
      </c>
      <c r="J49" s="828">
        <f t="shared" si="0"/>
        <v>1000</v>
      </c>
    </row>
    <row r="50" spans="1:10" ht="16.5" customHeight="1" x14ac:dyDescent="0.25">
      <c r="A50" s="637" t="s">
        <v>294</v>
      </c>
      <c r="B50" s="441" t="s">
        <v>360</v>
      </c>
      <c r="C50" s="443" t="s">
        <v>80</v>
      </c>
      <c r="D50" s="441"/>
      <c r="E50" s="441"/>
      <c r="F50" s="441"/>
      <c r="G50" s="441"/>
      <c r="H50" s="441"/>
      <c r="I50" s="637">
        <v>1000</v>
      </c>
      <c r="J50" s="828">
        <f t="shared" si="0"/>
        <v>1000</v>
      </c>
    </row>
    <row r="51" spans="1:10" ht="16.5" customHeight="1" x14ac:dyDescent="0.25">
      <c r="A51" s="637" t="s">
        <v>297</v>
      </c>
      <c r="B51" s="441" t="s">
        <v>361</v>
      </c>
      <c r="C51" s="443" t="s">
        <v>80</v>
      </c>
      <c r="D51" s="441"/>
      <c r="E51" s="441"/>
      <c r="F51" s="441"/>
      <c r="G51" s="441"/>
      <c r="H51" s="441"/>
      <c r="I51" s="637">
        <v>1500</v>
      </c>
      <c r="J51" s="828">
        <f t="shared" si="0"/>
        <v>1500</v>
      </c>
    </row>
    <row r="52" spans="1:10" ht="16.5" customHeight="1" x14ac:dyDescent="0.25">
      <c r="A52" s="637" t="s">
        <v>297</v>
      </c>
      <c r="B52" s="441" t="s">
        <v>362</v>
      </c>
      <c r="C52" s="443" t="s">
        <v>80</v>
      </c>
      <c r="D52" s="441"/>
      <c r="E52" s="441"/>
      <c r="F52" s="441"/>
      <c r="G52" s="441"/>
      <c r="H52" s="441"/>
      <c r="I52" s="637">
        <v>1500</v>
      </c>
      <c r="J52" s="828">
        <f t="shared" si="0"/>
        <v>1500</v>
      </c>
    </row>
    <row r="53" spans="1:10" ht="16.5" customHeight="1" x14ac:dyDescent="0.25">
      <c r="A53" s="637" t="s">
        <v>294</v>
      </c>
      <c r="B53" s="441" t="s">
        <v>547</v>
      </c>
      <c r="C53" s="443" t="s">
        <v>80</v>
      </c>
      <c r="D53" s="441"/>
      <c r="E53" s="441"/>
      <c r="F53" s="441"/>
      <c r="G53" s="441"/>
      <c r="H53" s="441"/>
      <c r="I53" s="637">
        <v>1000</v>
      </c>
      <c r="J53" s="828">
        <f t="shared" si="0"/>
        <v>1000</v>
      </c>
    </row>
    <row r="54" spans="1:10" ht="16.5" customHeight="1" x14ac:dyDescent="0.25">
      <c r="A54" s="637" t="s">
        <v>294</v>
      </c>
      <c r="B54" s="441" t="s">
        <v>806</v>
      </c>
      <c r="C54" s="443" t="s">
        <v>80</v>
      </c>
      <c r="D54" s="441"/>
      <c r="E54" s="441"/>
      <c r="F54" s="441"/>
      <c r="G54" s="441"/>
      <c r="H54" s="441"/>
      <c r="I54" s="637">
        <v>1000</v>
      </c>
      <c r="J54" s="828">
        <f t="shared" si="0"/>
        <v>1000</v>
      </c>
    </row>
    <row r="55" spans="1:10" ht="16.5" customHeight="1" x14ac:dyDescent="0.25">
      <c r="A55" s="637" t="s">
        <v>294</v>
      </c>
      <c r="B55" s="441" t="s">
        <v>650</v>
      </c>
      <c r="C55" s="443" t="s">
        <v>80</v>
      </c>
      <c r="D55" s="441"/>
      <c r="E55" s="441"/>
      <c r="F55" s="441"/>
      <c r="G55" s="441"/>
      <c r="H55" s="441"/>
      <c r="I55" s="637">
        <v>1000</v>
      </c>
      <c r="J55" s="828">
        <f t="shared" si="0"/>
        <v>1000</v>
      </c>
    </row>
    <row r="56" spans="1:10" ht="16.5" customHeight="1" x14ac:dyDescent="0.25">
      <c r="A56" s="637" t="s">
        <v>807</v>
      </c>
      <c r="B56" s="441" t="s">
        <v>548</v>
      </c>
      <c r="C56" s="443" t="s">
        <v>80</v>
      </c>
      <c r="D56" s="441"/>
      <c r="E56" s="441"/>
      <c r="F56" s="441"/>
      <c r="G56" s="441"/>
      <c r="H56" s="441"/>
      <c r="I56" s="637">
        <v>1000</v>
      </c>
      <c r="J56" s="828">
        <f t="shared" si="0"/>
        <v>1000</v>
      </c>
    </row>
    <row r="57" spans="1:10" ht="16.5" customHeight="1" x14ac:dyDescent="0.25">
      <c r="A57" s="637" t="s">
        <v>295</v>
      </c>
      <c r="B57" s="441" t="s">
        <v>651</v>
      </c>
      <c r="C57" s="443" t="s">
        <v>80</v>
      </c>
      <c r="D57" s="441"/>
      <c r="E57" s="441"/>
      <c r="F57" s="441"/>
      <c r="G57" s="441"/>
      <c r="H57" s="441"/>
      <c r="I57" s="637">
        <v>500</v>
      </c>
      <c r="J57" s="828">
        <f t="shared" si="0"/>
        <v>500</v>
      </c>
    </row>
    <row r="58" spans="1:10" ht="16.5" customHeight="1" x14ac:dyDescent="0.25">
      <c r="A58" s="637" t="s">
        <v>295</v>
      </c>
      <c r="B58" s="441" t="s">
        <v>808</v>
      </c>
      <c r="C58" s="443" t="s">
        <v>80</v>
      </c>
      <c r="D58" s="441"/>
      <c r="E58" s="441"/>
      <c r="F58" s="441"/>
      <c r="G58" s="441"/>
      <c r="H58" s="441"/>
      <c r="I58" s="637">
        <v>500</v>
      </c>
      <c r="J58" s="828">
        <f t="shared" si="0"/>
        <v>500</v>
      </c>
    </row>
    <row r="59" spans="1:10" ht="16.5" customHeight="1" x14ac:dyDescent="0.25">
      <c r="A59" s="637" t="s">
        <v>295</v>
      </c>
      <c r="B59" s="441" t="s">
        <v>652</v>
      </c>
      <c r="C59" s="443" t="s">
        <v>80</v>
      </c>
      <c r="D59" s="441"/>
      <c r="E59" s="441"/>
      <c r="F59" s="441"/>
      <c r="G59" s="441"/>
      <c r="H59" s="441"/>
      <c r="I59" s="637">
        <v>400</v>
      </c>
      <c r="J59" s="828">
        <f t="shared" si="0"/>
        <v>400</v>
      </c>
    </row>
    <row r="60" spans="1:10" ht="16.5" customHeight="1" x14ac:dyDescent="0.25">
      <c r="A60" s="637" t="s">
        <v>297</v>
      </c>
      <c r="B60" s="441" t="s">
        <v>163</v>
      </c>
      <c r="C60" s="443" t="s">
        <v>80</v>
      </c>
      <c r="D60" s="441"/>
      <c r="E60" s="441"/>
      <c r="F60" s="441"/>
      <c r="G60" s="441"/>
      <c r="H60" s="441"/>
      <c r="I60" s="637">
        <v>5000</v>
      </c>
      <c r="J60" s="828">
        <f t="shared" si="0"/>
        <v>5000</v>
      </c>
    </row>
    <row r="61" spans="1:10" ht="16.5" customHeight="1" x14ac:dyDescent="0.25">
      <c r="A61" s="637" t="s">
        <v>297</v>
      </c>
      <c r="B61" s="441" t="s">
        <v>358</v>
      </c>
      <c r="C61" s="443" t="s">
        <v>80</v>
      </c>
      <c r="D61" s="441"/>
      <c r="E61" s="441"/>
      <c r="F61" s="441"/>
      <c r="G61" s="441"/>
      <c r="H61" s="441"/>
      <c r="I61" s="637">
        <v>1500</v>
      </c>
      <c r="J61" s="828">
        <f t="shared" si="0"/>
        <v>1500</v>
      </c>
    </row>
    <row r="62" spans="1:10" ht="16.5" customHeight="1" x14ac:dyDescent="0.25">
      <c r="A62" s="637" t="s">
        <v>295</v>
      </c>
      <c r="B62" s="441" t="s">
        <v>891</v>
      </c>
      <c r="C62" s="443" t="s">
        <v>80</v>
      </c>
      <c r="D62" s="441"/>
      <c r="E62" s="441"/>
      <c r="F62" s="441"/>
      <c r="G62" s="441"/>
      <c r="H62" s="441"/>
      <c r="I62" s="637">
        <v>500</v>
      </c>
      <c r="J62" s="828">
        <f t="shared" si="0"/>
        <v>500</v>
      </c>
    </row>
    <row r="63" spans="1:10" ht="16.5" customHeight="1" x14ac:dyDescent="0.25">
      <c r="A63" s="637" t="s">
        <v>295</v>
      </c>
      <c r="B63" s="441" t="s">
        <v>892</v>
      </c>
      <c r="C63" s="443" t="s">
        <v>80</v>
      </c>
      <c r="D63" s="441"/>
      <c r="E63" s="441"/>
      <c r="F63" s="441"/>
      <c r="G63" s="441"/>
      <c r="H63" s="441"/>
      <c r="I63" s="637">
        <v>500</v>
      </c>
      <c r="J63" s="828">
        <f t="shared" si="0"/>
        <v>500</v>
      </c>
    </row>
    <row r="64" spans="1:10" ht="16.5" customHeight="1" x14ac:dyDescent="0.25">
      <c r="A64" s="637" t="s">
        <v>295</v>
      </c>
      <c r="B64" s="441" t="s">
        <v>893</v>
      </c>
      <c r="C64" s="443" t="s">
        <v>80</v>
      </c>
      <c r="D64" s="441"/>
      <c r="E64" s="441"/>
      <c r="F64" s="441"/>
      <c r="G64" s="441"/>
      <c r="H64" s="441"/>
      <c r="I64" s="637">
        <v>500</v>
      </c>
      <c r="J64" s="828">
        <f t="shared" si="0"/>
        <v>500</v>
      </c>
    </row>
    <row r="65" spans="1:10" ht="16.5" customHeight="1" x14ac:dyDescent="0.25">
      <c r="A65" s="637" t="s">
        <v>298</v>
      </c>
      <c r="B65" s="441" t="s">
        <v>894</v>
      </c>
      <c r="C65" s="443" t="s">
        <v>80</v>
      </c>
      <c r="D65" s="441"/>
      <c r="E65" s="441"/>
      <c r="F65" s="441"/>
      <c r="G65" s="441"/>
      <c r="H65" s="441"/>
      <c r="I65" s="637">
        <v>400</v>
      </c>
      <c r="J65" s="828">
        <f t="shared" si="0"/>
        <v>400</v>
      </c>
    </row>
    <row r="66" spans="1:10" ht="16.5" customHeight="1" x14ac:dyDescent="0.25">
      <c r="A66" s="637" t="s">
        <v>299</v>
      </c>
      <c r="B66" s="441" t="s">
        <v>653</v>
      </c>
      <c r="C66" s="443" t="s">
        <v>654</v>
      </c>
      <c r="D66" s="441"/>
      <c r="E66" s="441"/>
      <c r="F66" s="441"/>
      <c r="G66" s="441"/>
      <c r="H66" s="441"/>
      <c r="I66" s="637">
        <v>400</v>
      </c>
      <c r="J66" s="828">
        <f t="shared" si="0"/>
        <v>400</v>
      </c>
    </row>
    <row r="67" spans="1:10" ht="16.5" customHeight="1" x14ac:dyDescent="0.25">
      <c r="A67" s="637" t="s">
        <v>298</v>
      </c>
      <c r="B67" s="441" t="s">
        <v>809</v>
      </c>
      <c r="C67" s="443" t="s">
        <v>98</v>
      </c>
      <c r="D67" s="441"/>
      <c r="E67" s="441"/>
      <c r="F67" s="441"/>
      <c r="G67" s="441"/>
      <c r="H67" s="441"/>
      <c r="I67" s="637">
        <v>400</v>
      </c>
      <c r="J67" s="828">
        <f t="shared" si="0"/>
        <v>400</v>
      </c>
    </row>
    <row r="68" spans="1:10" ht="16.5" customHeight="1" x14ac:dyDescent="0.25">
      <c r="A68" s="637" t="s">
        <v>298</v>
      </c>
      <c r="B68" s="441" t="s">
        <v>681</v>
      </c>
      <c r="C68" s="443" t="s">
        <v>98</v>
      </c>
      <c r="D68" s="441"/>
      <c r="E68" s="441"/>
      <c r="F68" s="441"/>
      <c r="G68" s="441"/>
      <c r="H68" s="441"/>
      <c r="I68" s="637">
        <v>400</v>
      </c>
      <c r="J68" s="828">
        <f t="shared" si="0"/>
        <v>400</v>
      </c>
    </row>
    <row r="69" spans="1:10" ht="16.5" customHeight="1" x14ac:dyDescent="0.25">
      <c r="A69" s="637" t="s">
        <v>810</v>
      </c>
      <c r="B69" s="441" t="s">
        <v>370</v>
      </c>
      <c r="C69" s="443" t="s">
        <v>85</v>
      </c>
      <c r="D69" s="725"/>
      <c r="E69" s="441"/>
      <c r="F69" s="441"/>
      <c r="G69" s="441"/>
      <c r="H69" s="441"/>
      <c r="I69" s="637">
        <v>1000</v>
      </c>
      <c r="J69" s="828">
        <f t="shared" si="0"/>
        <v>1000</v>
      </c>
    </row>
    <row r="70" spans="1:10" ht="16.5" customHeight="1" x14ac:dyDescent="0.25">
      <c r="A70" s="637" t="s">
        <v>810</v>
      </c>
      <c r="B70" s="441" t="s">
        <v>364</v>
      </c>
      <c r="C70" s="443" t="s">
        <v>85</v>
      </c>
      <c r="D70" s="725"/>
      <c r="E70" s="441"/>
      <c r="F70" s="441"/>
      <c r="G70" s="441"/>
      <c r="H70" s="441"/>
      <c r="I70" s="637">
        <v>1000</v>
      </c>
      <c r="J70" s="828">
        <f t="shared" si="0"/>
        <v>1000</v>
      </c>
    </row>
    <row r="71" spans="1:10" ht="16.5" customHeight="1" x14ac:dyDescent="0.25">
      <c r="A71" s="637" t="s">
        <v>294</v>
      </c>
      <c r="B71" s="441" t="s">
        <v>365</v>
      </c>
      <c r="C71" s="443" t="s">
        <v>85</v>
      </c>
      <c r="D71" s="725"/>
      <c r="E71" s="441"/>
      <c r="F71" s="441"/>
      <c r="G71" s="441"/>
      <c r="H71" s="441"/>
      <c r="I71" s="637">
        <v>1000</v>
      </c>
      <c r="J71" s="828">
        <f t="shared" si="0"/>
        <v>1000</v>
      </c>
    </row>
    <row r="72" spans="1:10" ht="16.5" customHeight="1" x14ac:dyDescent="0.25">
      <c r="A72" s="637" t="s">
        <v>295</v>
      </c>
      <c r="B72" s="441" t="s">
        <v>367</v>
      </c>
      <c r="C72" s="443" t="s">
        <v>85</v>
      </c>
      <c r="D72" s="725"/>
      <c r="E72" s="441"/>
      <c r="F72" s="441"/>
      <c r="G72" s="441"/>
      <c r="H72" s="441"/>
      <c r="I72" s="637">
        <v>500</v>
      </c>
      <c r="J72" s="828">
        <f t="shared" si="0"/>
        <v>500</v>
      </c>
    </row>
    <row r="73" spans="1:10" ht="16.5" customHeight="1" x14ac:dyDescent="0.25">
      <c r="A73" s="637" t="s">
        <v>294</v>
      </c>
      <c r="B73" s="441" t="s">
        <v>366</v>
      </c>
      <c r="C73" s="443" t="s">
        <v>85</v>
      </c>
      <c r="D73" s="725"/>
      <c r="E73" s="441"/>
      <c r="F73" s="441"/>
      <c r="G73" s="441"/>
      <c r="H73" s="441"/>
      <c r="I73" s="637">
        <v>1000</v>
      </c>
      <c r="J73" s="828">
        <f t="shared" si="0"/>
        <v>1000</v>
      </c>
    </row>
    <row r="74" spans="1:10" ht="16.5" customHeight="1" x14ac:dyDescent="0.25">
      <c r="A74" s="637" t="s">
        <v>294</v>
      </c>
      <c r="B74" s="441" t="s">
        <v>369</v>
      </c>
      <c r="C74" s="443" t="s">
        <v>85</v>
      </c>
      <c r="D74" s="725"/>
      <c r="E74" s="441"/>
      <c r="F74" s="441"/>
      <c r="G74" s="441"/>
      <c r="H74" s="441"/>
      <c r="I74" s="637">
        <v>1000</v>
      </c>
      <c r="J74" s="828">
        <f t="shared" si="0"/>
        <v>1000</v>
      </c>
    </row>
    <row r="75" spans="1:10" ht="16.5" customHeight="1" x14ac:dyDescent="0.25">
      <c r="A75" s="637" t="s">
        <v>295</v>
      </c>
      <c r="B75" s="441" t="s">
        <v>368</v>
      </c>
      <c r="C75" s="443" t="s">
        <v>85</v>
      </c>
      <c r="D75" s="725"/>
      <c r="E75" s="441"/>
      <c r="F75" s="441"/>
      <c r="G75" s="441"/>
      <c r="H75" s="441"/>
      <c r="I75" s="637">
        <v>500</v>
      </c>
      <c r="J75" s="828">
        <f t="shared" ref="J75:J92" si="1">SUM(D75:I75)</f>
        <v>500</v>
      </c>
    </row>
    <row r="76" spans="1:10" ht="16.5" customHeight="1" x14ac:dyDescent="0.25">
      <c r="A76" s="637" t="s">
        <v>295</v>
      </c>
      <c r="B76" s="639" t="s">
        <v>549</v>
      </c>
      <c r="C76" s="443" t="s">
        <v>85</v>
      </c>
      <c r="D76" s="639"/>
      <c r="E76" s="639"/>
      <c r="F76" s="639"/>
      <c r="G76" s="639"/>
      <c r="H76" s="639"/>
      <c r="I76" s="637">
        <v>500</v>
      </c>
      <c r="J76" s="828">
        <f t="shared" si="1"/>
        <v>500</v>
      </c>
    </row>
    <row r="77" spans="1:10" ht="16.5" customHeight="1" x14ac:dyDescent="0.25">
      <c r="A77" s="637" t="s">
        <v>295</v>
      </c>
      <c r="B77" s="639" t="s">
        <v>550</v>
      </c>
      <c r="C77" s="443" t="s">
        <v>85</v>
      </c>
      <c r="D77" s="639"/>
      <c r="E77" s="639"/>
      <c r="F77" s="639"/>
      <c r="G77" s="639"/>
      <c r="H77" s="639"/>
      <c r="I77" s="637">
        <v>500</v>
      </c>
      <c r="J77" s="828">
        <f t="shared" si="1"/>
        <v>500</v>
      </c>
    </row>
    <row r="78" spans="1:10" ht="16.5" customHeight="1" x14ac:dyDescent="0.25">
      <c r="A78" s="637" t="s">
        <v>298</v>
      </c>
      <c r="B78" s="639" t="s">
        <v>655</v>
      </c>
      <c r="C78" s="443" t="s">
        <v>85</v>
      </c>
      <c r="D78" s="639"/>
      <c r="E78" s="639"/>
      <c r="F78" s="639"/>
      <c r="G78" s="639"/>
      <c r="H78" s="639"/>
      <c r="I78" s="637">
        <v>400</v>
      </c>
      <c r="J78" s="828">
        <f t="shared" si="1"/>
        <v>400</v>
      </c>
    </row>
    <row r="79" spans="1:10" ht="16.5" customHeight="1" x14ac:dyDescent="0.25">
      <c r="A79" s="637" t="s">
        <v>298</v>
      </c>
      <c r="B79" s="639" t="s">
        <v>811</v>
      </c>
      <c r="C79" s="443" t="s">
        <v>85</v>
      </c>
      <c r="D79" s="639"/>
      <c r="E79" s="639"/>
      <c r="F79" s="639"/>
      <c r="G79" s="639"/>
      <c r="H79" s="639"/>
      <c r="I79" s="637">
        <v>400</v>
      </c>
      <c r="J79" s="828">
        <f t="shared" si="1"/>
        <v>400</v>
      </c>
    </row>
    <row r="80" spans="1:10" ht="16.5" customHeight="1" x14ac:dyDescent="0.25">
      <c r="A80" s="637" t="s">
        <v>297</v>
      </c>
      <c r="B80" s="639" t="s">
        <v>180</v>
      </c>
      <c r="C80" s="443" t="s">
        <v>85</v>
      </c>
      <c r="D80" s="639"/>
      <c r="E80" s="639"/>
      <c r="F80" s="639"/>
      <c r="G80" s="639"/>
      <c r="H80" s="639"/>
      <c r="I80" s="637">
        <v>1000</v>
      </c>
      <c r="J80" s="828">
        <f t="shared" si="1"/>
        <v>1000</v>
      </c>
    </row>
    <row r="81" spans="1:10" ht="16.5" customHeight="1" x14ac:dyDescent="0.25">
      <c r="A81" s="637" t="s">
        <v>297</v>
      </c>
      <c r="B81" s="639" t="s">
        <v>551</v>
      </c>
      <c r="C81" s="443" t="s">
        <v>85</v>
      </c>
      <c r="D81" s="639"/>
      <c r="E81" s="639"/>
      <c r="F81" s="639"/>
      <c r="G81" s="639"/>
      <c r="H81" s="639"/>
      <c r="I81" s="637">
        <v>1000</v>
      </c>
      <c r="J81" s="828">
        <f t="shared" si="1"/>
        <v>1000</v>
      </c>
    </row>
    <row r="82" spans="1:10" ht="16.5" customHeight="1" x14ac:dyDescent="0.25">
      <c r="A82" s="637" t="s">
        <v>297</v>
      </c>
      <c r="B82" s="639" t="s">
        <v>202</v>
      </c>
      <c r="C82" s="443" t="s">
        <v>85</v>
      </c>
      <c r="D82" s="639"/>
      <c r="E82" s="639"/>
      <c r="F82" s="639"/>
      <c r="G82" s="639"/>
      <c r="H82" s="639"/>
      <c r="I82" s="637">
        <v>1000</v>
      </c>
      <c r="J82" s="828">
        <f t="shared" si="1"/>
        <v>1000</v>
      </c>
    </row>
    <row r="83" spans="1:10" ht="16.5" customHeight="1" x14ac:dyDescent="0.25">
      <c r="A83" s="637" t="s">
        <v>297</v>
      </c>
      <c r="B83" s="639" t="s">
        <v>363</v>
      </c>
      <c r="C83" s="443" t="s">
        <v>85</v>
      </c>
      <c r="D83" s="639"/>
      <c r="E83" s="639"/>
      <c r="F83" s="639"/>
      <c r="G83" s="639"/>
      <c r="H83" s="639"/>
      <c r="I83" s="637">
        <v>500</v>
      </c>
      <c r="J83" s="828">
        <f t="shared" si="1"/>
        <v>500</v>
      </c>
    </row>
    <row r="84" spans="1:10" ht="16.5" customHeight="1" x14ac:dyDescent="0.25">
      <c r="A84" s="637" t="s">
        <v>294</v>
      </c>
      <c r="B84" s="441" t="s">
        <v>371</v>
      </c>
      <c r="C84" s="443" t="s">
        <v>372</v>
      </c>
      <c r="D84" s="441"/>
      <c r="E84" s="441"/>
      <c r="F84" s="441"/>
      <c r="G84" s="441"/>
      <c r="H84" s="441"/>
      <c r="I84" s="637">
        <v>1000</v>
      </c>
      <c r="J84" s="828">
        <f t="shared" si="1"/>
        <v>1000</v>
      </c>
    </row>
    <row r="85" spans="1:10" ht="16.5" customHeight="1" x14ac:dyDescent="0.25">
      <c r="A85" s="637" t="s">
        <v>295</v>
      </c>
      <c r="B85" s="441" t="s">
        <v>325</v>
      </c>
      <c r="C85" s="443" t="s">
        <v>289</v>
      </c>
      <c r="D85" s="441"/>
      <c r="E85" s="441"/>
      <c r="F85" s="441"/>
      <c r="G85" s="441"/>
      <c r="H85" s="441"/>
      <c r="I85" s="637">
        <v>4000</v>
      </c>
      <c r="J85" s="828">
        <f t="shared" si="1"/>
        <v>4000</v>
      </c>
    </row>
    <row r="86" spans="1:10" ht="16.5" customHeight="1" x14ac:dyDescent="0.25">
      <c r="A86" s="637" t="s">
        <v>297</v>
      </c>
      <c r="B86" s="441" t="s">
        <v>812</v>
      </c>
      <c r="C86" s="443" t="s">
        <v>646</v>
      </c>
      <c r="D86" s="441"/>
      <c r="E86" s="441"/>
      <c r="F86" s="441"/>
      <c r="G86" s="441"/>
      <c r="H86" s="441"/>
      <c r="I86" s="637">
        <v>1000</v>
      </c>
      <c r="J86" s="828">
        <f t="shared" si="1"/>
        <v>1000</v>
      </c>
    </row>
    <row r="87" spans="1:10" ht="16.5" customHeight="1" x14ac:dyDescent="0.25">
      <c r="A87" s="637" t="s">
        <v>294</v>
      </c>
      <c r="B87" s="441" t="s">
        <v>656</v>
      </c>
      <c r="C87" s="443" t="s">
        <v>646</v>
      </c>
      <c r="D87" s="441"/>
      <c r="E87" s="441"/>
      <c r="F87" s="441"/>
      <c r="G87" s="441"/>
      <c r="H87" s="441"/>
      <c r="I87" s="637">
        <v>1000</v>
      </c>
      <c r="J87" s="828">
        <f t="shared" si="1"/>
        <v>1000</v>
      </c>
    </row>
    <row r="88" spans="1:10" ht="16.5" customHeight="1" x14ac:dyDescent="0.25">
      <c r="A88" s="637" t="s">
        <v>299</v>
      </c>
      <c r="B88" s="441" t="s">
        <v>813</v>
      </c>
      <c r="C88" s="443" t="s">
        <v>646</v>
      </c>
      <c r="D88" s="441"/>
      <c r="E88" s="441"/>
      <c r="F88" s="441"/>
      <c r="G88" s="441"/>
      <c r="H88" s="441"/>
      <c r="I88" s="637">
        <v>400</v>
      </c>
      <c r="J88" s="828">
        <f t="shared" si="1"/>
        <v>400</v>
      </c>
    </row>
    <row r="89" spans="1:10" ht="16.5" customHeight="1" x14ac:dyDescent="0.25">
      <c r="A89" s="637" t="s">
        <v>295</v>
      </c>
      <c r="B89" s="441" t="s">
        <v>569</v>
      </c>
      <c r="C89" s="443" t="s">
        <v>570</v>
      </c>
      <c r="D89" s="441"/>
      <c r="E89" s="441"/>
      <c r="F89" s="441"/>
      <c r="G89" s="441"/>
      <c r="H89" s="441"/>
      <c r="I89" s="637">
        <v>500</v>
      </c>
      <c r="J89" s="828">
        <f t="shared" si="1"/>
        <v>500</v>
      </c>
    </row>
    <row r="90" spans="1:10" ht="16.5" customHeight="1" x14ac:dyDescent="0.25">
      <c r="A90" s="637" t="s">
        <v>298</v>
      </c>
      <c r="B90" s="441" t="s">
        <v>814</v>
      </c>
      <c r="C90" s="443" t="s">
        <v>815</v>
      </c>
      <c r="D90" s="441"/>
      <c r="E90" s="441"/>
      <c r="F90" s="441"/>
      <c r="G90" s="441"/>
      <c r="H90" s="441"/>
      <c r="I90" s="637">
        <v>400</v>
      </c>
      <c r="J90" s="828">
        <f t="shared" si="1"/>
        <v>400</v>
      </c>
    </row>
    <row r="91" spans="1:10" ht="16.5" customHeight="1" x14ac:dyDescent="0.25">
      <c r="A91" s="637" t="s">
        <v>297</v>
      </c>
      <c r="B91" s="441" t="s">
        <v>657</v>
      </c>
      <c r="C91" s="443" t="s">
        <v>658</v>
      </c>
      <c r="D91" s="441"/>
      <c r="E91" s="441"/>
      <c r="F91" s="441"/>
      <c r="G91" s="441"/>
      <c r="H91" s="441"/>
      <c r="I91" s="637">
        <v>1200</v>
      </c>
      <c r="J91" s="828">
        <f t="shared" si="1"/>
        <v>1200</v>
      </c>
    </row>
    <row r="92" spans="1:10" ht="16.5" customHeight="1" x14ac:dyDescent="0.25">
      <c r="A92" s="637" t="s">
        <v>816</v>
      </c>
      <c r="B92" s="441" t="s">
        <v>817</v>
      </c>
      <c r="C92" s="443" t="s">
        <v>797</v>
      </c>
      <c r="D92" s="441"/>
      <c r="E92" s="441"/>
      <c r="F92" s="441"/>
      <c r="G92" s="441"/>
      <c r="H92" s="441"/>
      <c r="I92" s="637">
        <v>1500</v>
      </c>
      <c r="J92" s="828">
        <f t="shared" si="1"/>
        <v>1500</v>
      </c>
    </row>
    <row r="93" spans="1:10" ht="16.5" customHeight="1" x14ac:dyDescent="0.25">
      <c r="A93" s="347"/>
      <c r="B93" s="347"/>
      <c r="C93" s="726" t="s">
        <v>261</v>
      </c>
      <c r="D93" s="727">
        <f t="shared" ref="D93:J93" si="2">SUM(D9:D92)</f>
        <v>13547</v>
      </c>
      <c r="E93" s="727">
        <f t="shared" si="2"/>
        <v>6000</v>
      </c>
      <c r="F93" s="727">
        <f t="shared" si="2"/>
        <v>6000</v>
      </c>
      <c r="G93" s="727">
        <f t="shared" si="2"/>
        <v>51250</v>
      </c>
      <c r="H93" s="727">
        <f t="shared" si="2"/>
        <v>21800</v>
      </c>
      <c r="I93" s="727">
        <f t="shared" si="2"/>
        <v>787190</v>
      </c>
      <c r="J93" s="829">
        <f t="shared" si="2"/>
        <v>885787</v>
      </c>
    </row>
    <row r="94" spans="1:10" ht="15.75" x14ac:dyDescent="0.25">
      <c r="A94" s="347"/>
      <c r="B94" s="347"/>
      <c r="C94" s="351"/>
      <c r="D94" s="728"/>
      <c r="E94" s="729"/>
      <c r="F94" s="729"/>
      <c r="G94" s="729"/>
      <c r="H94" s="729"/>
      <c r="I94" s="729"/>
      <c r="J94" s="637"/>
    </row>
    <row r="95" spans="1:10" ht="15.75" x14ac:dyDescent="0.25">
      <c r="A95" s="347"/>
      <c r="B95" s="138" t="s">
        <v>944</v>
      </c>
      <c r="C95" s="730"/>
      <c r="D95" s="713">
        <v>2231</v>
      </c>
      <c r="E95" s="714">
        <v>2239</v>
      </c>
      <c r="F95" s="714">
        <v>2233</v>
      </c>
      <c r="G95" s="714">
        <v>2261</v>
      </c>
      <c r="H95" s="714">
        <v>2314</v>
      </c>
      <c r="I95" s="714">
        <v>3263</v>
      </c>
      <c r="J95" s="715" t="s">
        <v>727</v>
      </c>
    </row>
  </sheetData>
  <mergeCells count="5">
    <mergeCell ref="A1:D1"/>
    <mergeCell ref="A2:D2"/>
    <mergeCell ref="A3:D3"/>
    <mergeCell ref="A5:D5"/>
    <mergeCell ref="B6:I6"/>
  </mergeCells>
  <pageMargins left="0.25" right="0.25" top="0.75" bottom="0.75" header="0.3" footer="0.3"/>
  <pageSetup paperSize="9" scale="7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1"/>
  <sheetViews>
    <sheetView zoomScaleNormal="100" zoomScaleSheetLayoutView="87" workbookViewId="0">
      <pane xSplit="4" ySplit="7" topLeftCell="E22" activePane="bottomRight" state="frozen"/>
      <selection pane="topRight" activeCell="E1" sqref="E1"/>
      <selection pane="bottomLeft" activeCell="A8" sqref="A8"/>
      <selection pane="bottomRight" activeCell="M2" sqref="M2"/>
    </sheetView>
  </sheetViews>
  <sheetFormatPr defaultColWidth="9.140625" defaultRowHeight="12.75" x14ac:dyDescent="0.2"/>
  <cols>
    <col min="1" max="2" width="6.5703125" style="237" customWidth="1"/>
    <col min="3" max="3" width="44.140625" style="237" customWidth="1"/>
    <col min="4" max="4" width="13" style="237" customWidth="1"/>
    <col min="5" max="5" width="12.5703125" style="237" customWidth="1"/>
    <col min="6" max="6" width="10.42578125" style="237" customWidth="1"/>
    <col min="7" max="7" width="11.42578125" style="237" customWidth="1"/>
    <col min="8" max="8" width="13.7109375" style="237" customWidth="1"/>
    <col min="9" max="9" width="11.85546875" style="237" customWidth="1"/>
    <col min="10" max="10" width="10.85546875" style="237" customWidth="1"/>
    <col min="11" max="14" width="16.140625" style="237" customWidth="1"/>
    <col min="15" max="15" width="17.140625" style="237" customWidth="1"/>
    <col min="16" max="17" width="12.85546875" style="288" customWidth="1"/>
    <col min="18" max="18" width="11.5703125" style="237" customWidth="1"/>
    <col min="19" max="19" width="14.140625" style="237" customWidth="1"/>
    <col min="20" max="20" width="15.42578125" style="237" customWidth="1"/>
    <col min="21" max="21" width="11.85546875" style="237" customWidth="1"/>
    <col min="22" max="22" width="15.42578125" style="237" customWidth="1"/>
    <col min="23" max="23" width="11.140625" style="237" customWidth="1"/>
    <col min="24" max="24" width="10" style="237" customWidth="1"/>
    <col min="25" max="25" width="13.85546875" style="237" customWidth="1"/>
    <col min="26" max="26" width="14.140625" style="237" customWidth="1"/>
    <col min="27" max="27" width="13.140625" style="237" customWidth="1"/>
    <col min="28" max="16384" width="9.140625" style="237"/>
  </cols>
  <sheetData>
    <row r="1" spans="1:27" s="203" customFormat="1" ht="15" x14ac:dyDescent="0.25">
      <c r="A1" s="185"/>
      <c r="B1" s="185"/>
      <c r="D1" s="185"/>
      <c r="E1" s="234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6" t="s">
        <v>203</v>
      </c>
    </row>
    <row r="2" spans="1:27" s="203" customFormat="1" ht="15" x14ac:dyDescent="0.25">
      <c r="A2" s="185"/>
      <c r="B2" s="185"/>
      <c r="C2" s="236" t="s">
        <v>0</v>
      </c>
      <c r="D2" s="586"/>
      <c r="E2" s="236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</row>
    <row r="3" spans="1:27" s="268" customFormat="1" ht="14.25" x14ac:dyDescent="0.2">
      <c r="A3" s="238" t="s">
        <v>164</v>
      </c>
      <c r="B3" s="239"/>
      <c r="C3" s="266"/>
      <c r="D3" s="239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333"/>
      <c r="U3" s="267"/>
      <c r="V3" s="333"/>
      <c r="W3" s="333"/>
      <c r="X3" s="267"/>
      <c r="Y3" s="267"/>
      <c r="Z3" s="267"/>
      <c r="AA3" s="267"/>
    </row>
    <row r="4" spans="1:27" s="240" customFormat="1" ht="15.75" thickBot="1" x14ac:dyDescent="0.3">
      <c r="A4" s="238" t="s">
        <v>728</v>
      </c>
      <c r="B4" s="239"/>
      <c r="C4" s="175"/>
      <c r="D4" s="175"/>
      <c r="E4" s="175"/>
      <c r="F4" s="175"/>
      <c r="G4" s="215"/>
      <c r="H4" s="175"/>
      <c r="I4" s="215"/>
      <c r="J4" s="215"/>
      <c r="K4" s="215"/>
      <c r="L4" s="215"/>
      <c r="M4" s="215"/>
      <c r="N4" s="215"/>
      <c r="O4" s="215"/>
      <c r="P4" s="175"/>
      <c r="Q4" s="215"/>
      <c r="R4" s="215"/>
      <c r="S4" s="215"/>
      <c r="T4" s="175"/>
      <c r="U4" s="175"/>
      <c r="V4" s="175"/>
      <c r="W4" s="215"/>
      <c r="X4" s="215"/>
      <c r="Y4" s="215"/>
      <c r="Z4" s="215"/>
      <c r="AA4" s="175"/>
    </row>
    <row r="5" spans="1:27" ht="15.75" x14ac:dyDescent="0.25">
      <c r="A5" s="929" t="s">
        <v>122</v>
      </c>
      <c r="B5" s="930"/>
      <c r="C5" s="930"/>
      <c r="D5" s="176"/>
      <c r="E5" s="462" t="s">
        <v>147</v>
      </c>
      <c r="F5" s="849" t="s">
        <v>148</v>
      </c>
      <c r="G5" s="462" t="s">
        <v>155</v>
      </c>
      <c r="H5" s="462" t="s">
        <v>636</v>
      </c>
      <c r="I5" s="463" t="s">
        <v>868</v>
      </c>
      <c r="J5" s="463" t="s">
        <v>869</v>
      </c>
      <c r="K5" s="463" t="s">
        <v>870</v>
      </c>
      <c r="L5" s="463" t="s">
        <v>871</v>
      </c>
      <c r="M5" s="463" t="s">
        <v>872</v>
      </c>
      <c r="N5" s="463" t="s">
        <v>873</v>
      </c>
      <c r="O5" s="463" t="s">
        <v>874</v>
      </c>
      <c r="P5" s="462" t="s">
        <v>226</v>
      </c>
      <c r="Q5" s="462" t="s">
        <v>661</v>
      </c>
      <c r="R5" s="462" t="s">
        <v>641</v>
      </c>
      <c r="S5" s="462" t="s">
        <v>566</v>
      </c>
      <c r="T5" s="463" t="s">
        <v>885</v>
      </c>
      <c r="U5" s="462" t="s">
        <v>227</v>
      </c>
      <c r="V5" s="463" t="s">
        <v>683</v>
      </c>
      <c r="W5" s="463" t="s">
        <v>880</v>
      </c>
      <c r="X5" s="462" t="s">
        <v>165</v>
      </c>
      <c r="Y5" s="463" t="s">
        <v>886</v>
      </c>
      <c r="Z5" s="463" t="s">
        <v>887</v>
      </c>
      <c r="AA5" s="462" t="s">
        <v>664</v>
      </c>
    </row>
    <row r="6" spans="1:27" s="269" customFormat="1" ht="120.75" thickBot="1" x14ac:dyDescent="0.3">
      <c r="A6" s="931" t="s">
        <v>8</v>
      </c>
      <c r="B6" s="932"/>
      <c r="C6" s="933"/>
      <c r="D6" s="304" t="s">
        <v>94</v>
      </c>
      <c r="E6" s="649" t="s">
        <v>190</v>
      </c>
      <c r="F6" s="649" t="s">
        <v>95</v>
      </c>
      <c r="G6" s="649" t="s">
        <v>153</v>
      </c>
      <c r="H6" s="650" t="s">
        <v>635</v>
      </c>
      <c r="I6" s="749" t="s">
        <v>831</v>
      </c>
      <c r="J6" s="749" t="s">
        <v>830</v>
      </c>
      <c r="K6" s="749" t="s">
        <v>828</v>
      </c>
      <c r="L6" s="749" t="s">
        <v>829</v>
      </c>
      <c r="M6" s="749" t="s">
        <v>826</v>
      </c>
      <c r="N6" s="749" t="s">
        <v>865</v>
      </c>
      <c r="O6" s="749" t="s">
        <v>875</v>
      </c>
      <c r="P6" s="650" t="s">
        <v>229</v>
      </c>
      <c r="Q6" s="652" t="s">
        <v>662</v>
      </c>
      <c r="R6" s="650" t="s">
        <v>642</v>
      </c>
      <c r="S6" s="649" t="s">
        <v>567</v>
      </c>
      <c r="T6" s="748" t="s">
        <v>832</v>
      </c>
      <c r="U6" s="653" t="s">
        <v>230</v>
      </c>
      <c r="V6" s="748" t="s">
        <v>898</v>
      </c>
      <c r="W6" s="649" t="s">
        <v>840</v>
      </c>
      <c r="X6" s="649" t="s">
        <v>928</v>
      </c>
      <c r="Y6" s="823" t="s">
        <v>757</v>
      </c>
      <c r="Z6" s="823" t="s">
        <v>864</v>
      </c>
      <c r="AA6" s="649" t="s">
        <v>666</v>
      </c>
    </row>
    <row r="7" spans="1:27" ht="15.75" thickBot="1" x14ac:dyDescent="0.3">
      <c r="A7" s="219" t="s">
        <v>7</v>
      </c>
      <c r="B7" s="220" t="s">
        <v>7</v>
      </c>
      <c r="C7" s="305"/>
      <c r="D7" s="306" t="s">
        <v>28</v>
      </c>
      <c r="E7" s="316" t="s">
        <v>152</v>
      </c>
      <c r="F7" s="850" t="s">
        <v>152</v>
      </c>
      <c r="G7" s="316" t="s">
        <v>152</v>
      </c>
      <c r="H7" s="316" t="s">
        <v>152</v>
      </c>
      <c r="I7" s="316" t="s">
        <v>152</v>
      </c>
      <c r="J7" s="316" t="s">
        <v>152</v>
      </c>
      <c r="K7" s="316" t="s">
        <v>152</v>
      </c>
      <c r="L7" s="316" t="s">
        <v>152</v>
      </c>
      <c r="M7" s="316" t="s">
        <v>152</v>
      </c>
      <c r="N7" s="316" t="s">
        <v>152</v>
      </c>
      <c r="O7" s="316" t="s">
        <v>152</v>
      </c>
      <c r="P7" s="316" t="s">
        <v>152</v>
      </c>
      <c r="Q7" s="316" t="s">
        <v>152</v>
      </c>
      <c r="R7" s="316" t="s">
        <v>152</v>
      </c>
      <c r="S7" s="316" t="s">
        <v>152</v>
      </c>
      <c r="T7" s="316" t="s">
        <v>152</v>
      </c>
      <c r="U7" s="316" t="s">
        <v>152</v>
      </c>
      <c r="V7" s="316" t="s">
        <v>152</v>
      </c>
      <c r="W7" s="316" t="s">
        <v>152</v>
      </c>
      <c r="X7" s="316" t="s">
        <v>152</v>
      </c>
      <c r="Y7" s="316"/>
      <c r="Z7" s="316"/>
      <c r="AA7" s="316" t="s">
        <v>152</v>
      </c>
    </row>
    <row r="8" spans="1:27" ht="15" x14ac:dyDescent="0.25">
      <c r="A8" s="241"/>
      <c r="B8" s="227"/>
      <c r="C8" s="242" t="s">
        <v>131</v>
      </c>
      <c r="D8" s="609">
        <f t="shared" ref="D8:D13" si="0">SUM(E8:AA8)</f>
        <v>0</v>
      </c>
      <c r="E8" s="610"/>
      <c r="F8" s="851"/>
      <c r="G8" s="612"/>
      <c r="H8" s="613"/>
      <c r="I8" s="614"/>
      <c r="J8" s="614"/>
      <c r="K8" s="614"/>
      <c r="L8" s="614"/>
      <c r="M8" s="614"/>
      <c r="N8" s="614"/>
      <c r="O8" s="614"/>
      <c r="P8" s="184"/>
      <c r="Q8" s="184"/>
      <c r="R8" s="184"/>
      <c r="S8" s="613"/>
      <c r="T8" s="614"/>
      <c r="U8" s="615"/>
      <c r="V8" s="614"/>
      <c r="W8" s="614"/>
      <c r="X8" s="611"/>
      <c r="Y8" s="614"/>
      <c r="Z8" s="614"/>
      <c r="AA8" s="616"/>
    </row>
    <row r="9" spans="1:27" ht="15" x14ac:dyDescent="0.25">
      <c r="A9" s="243"/>
      <c r="B9" s="177"/>
      <c r="C9" s="181" t="s">
        <v>166</v>
      </c>
      <c r="D9" s="617">
        <f t="shared" si="0"/>
        <v>1808499</v>
      </c>
      <c r="E9" s="293">
        <f>20000+1815+10689</f>
        <v>32504</v>
      </c>
      <c r="F9" s="293">
        <f>5000-2374</f>
        <v>2626</v>
      </c>
      <c r="G9" s="293">
        <v>172685</v>
      </c>
      <c r="H9" s="454">
        <v>60000</v>
      </c>
      <c r="I9" s="454">
        <v>54839</v>
      </c>
      <c r="J9" s="454">
        <v>56550</v>
      </c>
      <c r="K9" s="454">
        <v>60000</v>
      </c>
      <c r="L9" s="454">
        <v>100000</v>
      </c>
      <c r="M9" s="454">
        <v>62090</v>
      </c>
      <c r="N9" s="454">
        <v>54000</v>
      </c>
      <c r="O9" s="454">
        <f>217000+10265</f>
        <v>227265</v>
      </c>
      <c r="P9" s="178">
        <v>89700</v>
      </c>
      <c r="Q9" s="178">
        <v>3000</v>
      </c>
      <c r="R9" s="178">
        <v>201268</v>
      </c>
      <c r="S9" s="454">
        <v>60000</v>
      </c>
      <c r="T9" s="454">
        <v>99472</v>
      </c>
      <c r="U9" s="591">
        <v>61000</v>
      </c>
      <c r="V9" s="454">
        <v>140000</v>
      </c>
      <c r="W9" s="454">
        <v>200000</v>
      </c>
      <c r="X9" s="293">
        <v>25000</v>
      </c>
      <c r="Y9" s="454">
        <v>6500</v>
      </c>
      <c r="Z9" s="454">
        <v>5000</v>
      </c>
      <c r="AA9" s="293">
        <v>35000</v>
      </c>
    </row>
    <row r="10" spans="1:27" ht="15.75" x14ac:dyDescent="0.25">
      <c r="A10" s="243"/>
      <c r="B10" s="177"/>
      <c r="C10" s="181" t="s">
        <v>213</v>
      </c>
      <c r="D10" s="617">
        <f t="shared" si="0"/>
        <v>0</v>
      </c>
      <c r="E10" s="299"/>
      <c r="F10" s="299"/>
      <c r="G10" s="299"/>
      <c r="H10" s="440"/>
      <c r="I10" s="332"/>
      <c r="J10" s="332"/>
      <c r="K10" s="332"/>
      <c r="L10" s="332"/>
      <c r="M10" s="332"/>
      <c r="N10" s="332"/>
      <c r="O10" s="332"/>
      <c r="P10" s="178"/>
      <c r="Q10" s="178"/>
      <c r="R10" s="178"/>
      <c r="S10" s="440"/>
      <c r="T10" s="331"/>
      <c r="U10" s="178"/>
      <c r="V10" s="331"/>
      <c r="W10" s="331"/>
      <c r="X10" s="299"/>
      <c r="Y10" s="332"/>
      <c r="Z10" s="332"/>
      <c r="AA10" s="292"/>
    </row>
    <row r="11" spans="1:27" ht="15" x14ac:dyDescent="0.25">
      <c r="A11" s="243"/>
      <c r="B11" s="177"/>
      <c r="C11" s="181" t="s">
        <v>167</v>
      </c>
      <c r="D11" s="617">
        <f t="shared" si="0"/>
        <v>1293625</v>
      </c>
      <c r="E11" s="299"/>
      <c r="F11" s="299"/>
      <c r="G11" s="299"/>
      <c r="H11" s="332"/>
      <c r="I11" s="292"/>
      <c r="J11" s="292">
        <v>320450</v>
      </c>
      <c r="K11" s="292"/>
      <c r="L11" s="292"/>
      <c r="M11" s="292"/>
      <c r="N11" s="292">
        <v>306000</v>
      </c>
      <c r="O11" s="292"/>
      <c r="P11" s="178"/>
      <c r="Q11" s="178"/>
      <c r="R11" s="178"/>
      <c r="S11" s="332"/>
      <c r="T11" s="332">
        <v>563675</v>
      </c>
      <c r="U11" s="178"/>
      <c r="V11" s="332"/>
      <c r="W11" s="332"/>
      <c r="X11" s="299"/>
      <c r="Y11" s="292">
        <v>58500</v>
      </c>
      <c r="Z11" s="292">
        <v>45000</v>
      </c>
      <c r="AA11" s="292"/>
    </row>
    <row r="12" spans="1:27" ht="15" x14ac:dyDescent="0.25">
      <c r="A12" s="243"/>
      <c r="B12" s="177"/>
      <c r="C12" s="249" t="s">
        <v>168</v>
      </c>
      <c r="D12" s="617">
        <f t="shared" si="0"/>
        <v>0</v>
      </c>
      <c r="E12" s="299"/>
      <c r="F12" s="299"/>
      <c r="G12" s="299"/>
      <c r="H12" s="331"/>
      <c r="I12" s="331"/>
      <c r="J12" s="331"/>
      <c r="K12" s="331"/>
      <c r="L12" s="331"/>
      <c r="M12" s="331"/>
      <c r="N12" s="331"/>
      <c r="O12" s="331"/>
      <c r="P12" s="178"/>
      <c r="Q12" s="178"/>
      <c r="R12" s="178"/>
      <c r="S12" s="331"/>
      <c r="T12" s="331"/>
      <c r="U12" s="178"/>
      <c r="V12" s="331"/>
      <c r="W12" s="331"/>
      <c r="X12" s="293"/>
      <c r="Y12" s="331"/>
      <c r="Z12" s="331"/>
      <c r="AA12" s="454"/>
    </row>
    <row r="13" spans="1:27" ht="15.75" thickBot="1" x14ac:dyDescent="0.3">
      <c r="A13" s="244"/>
      <c r="B13" s="221"/>
      <c r="C13" s="249" t="s">
        <v>9</v>
      </c>
      <c r="D13" s="617">
        <f t="shared" si="0"/>
        <v>0</v>
      </c>
      <c r="E13" s="618"/>
      <c r="F13" s="618"/>
      <c r="G13" s="618"/>
      <c r="H13" s="619"/>
      <c r="I13" s="619"/>
      <c r="J13" s="619"/>
      <c r="K13" s="619"/>
      <c r="L13" s="619"/>
      <c r="M13" s="619"/>
      <c r="N13" s="619"/>
      <c r="O13" s="619"/>
      <c r="P13" s="225"/>
      <c r="Q13" s="225"/>
      <c r="R13" s="225"/>
      <c r="S13" s="619"/>
      <c r="T13" s="619"/>
      <c r="U13" s="225"/>
      <c r="V13" s="619"/>
      <c r="W13" s="619"/>
      <c r="X13" s="294"/>
      <c r="Y13" s="619"/>
      <c r="Z13" s="619"/>
      <c r="AA13" s="620"/>
    </row>
    <row r="14" spans="1:27" ht="15.75" thickBot="1" x14ac:dyDescent="0.3">
      <c r="A14" s="179"/>
      <c r="B14" s="246"/>
      <c r="C14" s="180" t="s">
        <v>31</v>
      </c>
      <c r="D14" s="621">
        <f t="shared" ref="D14:AA14" si="1">SUM(D9:D13)</f>
        <v>3102124</v>
      </c>
      <c r="E14" s="622">
        <f t="shared" si="1"/>
        <v>32504</v>
      </c>
      <c r="F14" s="622">
        <f t="shared" si="1"/>
        <v>2626</v>
      </c>
      <c r="G14" s="622">
        <f t="shared" si="1"/>
        <v>172685</v>
      </c>
      <c r="H14" s="623">
        <f>SUM(H9:H13)</f>
        <v>60000</v>
      </c>
      <c r="I14" s="623">
        <f t="shared" ref="I14" si="2">SUM(I9:I13)</f>
        <v>54839</v>
      </c>
      <c r="J14" s="623">
        <f t="shared" ref="J14" si="3">SUM(J9:J13)</f>
        <v>377000</v>
      </c>
      <c r="K14" s="623">
        <f>SUM(K9:K13)</f>
        <v>60000</v>
      </c>
      <c r="L14" s="623">
        <f>SUM(L9:L13)</f>
        <v>100000</v>
      </c>
      <c r="M14" s="623">
        <f>SUM(M9:M13)</f>
        <v>62090</v>
      </c>
      <c r="N14" s="623">
        <f>SUM(N9:N13)</f>
        <v>360000</v>
      </c>
      <c r="O14" s="623">
        <f>SUM(O9:O13)</f>
        <v>227265</v>
      </c>
      <c r="P14" s="623">
        <f t="shared" si="1"/>
        <v>89700</v>
      </c>
      <c r="Q14" s="623">
        <f t="shared" ref="Q14" si="4">SUM(Q9:Q13)</f>
        <v>3000</v>
      </c>
      <c r="R14" s="623">
        <f t="shared" si="1"/>
        <v>201268</v>
      </c>
      <c r="S14" s="623">
        <f t="shared" si="1"/>
        <v>60000</v>
      </c>
      <c r="T14" s="623">
        <f t="shared" ref="T14" si="5">SUM(T9:T13)</f>
        <v>663147</v>
      </c>
      <c r="U14" s="623">
        <f t="shared" si="1"/>
        <v>61000</v>
      </c>
      <c r="V14" s="623">
        <f t="shared" ref="V14" si="6">SUM(V9:V13)</f>
        <v>140000</v>
      </c>
      <c r="W14" s="623">
        <f t="shared" si="1"/>
        <v>200000</v>
      </c>
      <c r="X14" s="623">
        <f t="shared" si="1"/>
        <v>25000</v>
      </c>
      <c r="Y14" s="623">
        <f>SUM(Y9:Y13)</f>
        <v>65000</v>
      </c>
      <c r="Z14" s="623">
        <f>SUM(Z9:Z13)</f>
        <v>50000</v>
      </c>
      <c r="AA14" s="623">
        <f t="shared" si="1"/>
        <v>35000</v>
      </c>
    </row>
    <row r="15" spans="1:27" ht="15.75" thickBot="1" x14ac:dyDescent="0.3">
      <c r="A15" s="179"/>
      <c r="B15" s="246"/>
      <c r="C15" s="180" t="s">
        <v>133</v>
      </c>
      <c r="D15" s="621">
        <f>SUM(D8+D14)</f>
        <v>3102124</v>
      </c>
      <c r="E15" s="624">
        <f t="shared" ref="E15:AA15" si="7">SUM(E8+E14)</f>
        <v>32504</v>
      </c>
      <c r="F15" s="624">
        <f t="shared" si="7"/>
        <v>2626</v>
      </c>
      <c r="G15" s="624">
        <f t="shared" si="7"/>
        <v>172685</v>
      </c>
      <c r="H15" s="625">
        <f>SUM(H8+H14)</f>
        <v>60000</v>
      </c>
      <c r="I15" s="625">
        <f t="shared" ref="I15" si="8">SUM(I8+I14)</f>
        <v>54839</v>
      </c>
      <c r="J15" s="625">
        <f t="shared" ref="J15" si="9">SUM(J8+J14)</f>
        <v>377000</v>
      </c>
      <c r="K15" s="625">
        <f>SUM(K8+K14)</f>
        <v>60000</v>
      </c>
      <c r="L15" s="625">
        <f>SUM(L8+L14)</f>
        <v>100000</v>
      </c>
      <c r="M15" s="625">
        <f>SUM(M8+M14)</f>
        <v>62090</v>
      </c>
      <c r="N15" s="625">
        <f>SUM(N8+N14)</f>
        <v>360000</v>
      </c>
      <c r="O15" s="625">
        <f>SUM(O8+O14)</f>
        <v>227265</v>
      </c>
      <c r="P15" s="625">
        <f t="shared" si="7"/>
        <v>89700</v>
      </c>
      <c r="Q15" s="625">
        <f t="shared" ref="Q15" si="10">SUM(Q8+Q14)</f>
        <v>3000</v>
      </c>
      <c r="R15" s="625">
        <f t="shared" si="7"/>
        <v>201268</v>
      </c>
      <c r="S15" s="625">
        <f t="shared" si="7"/>
        <v>60000</v>
      </c>
      <c r="T15" s="625">
        <f t="shared" ref="T15" si="11">SUM(T8+T14)</f>
        <v>663147</v>
      </c>
      <c r="U15" s="625">
        <f t="shared" si="7"/>
        <v>61000</v>
      </c>
      <c r="V15" s="625">
        <f t="shared" ref="V15" si="12">SUM(V8+V14)</f>
        <v>140000</v>
      </c>
      <c r="W15" s="625">
        <f t="shared" si="7"/>
        <v>200000</v>
      </c>
      <c r="X15" s="625">
        <f t="shared" si="7"/>
        <v>25000</v>
      </c>
      <c r="Y15" s="625">
        <f>SUM(Y8+Y14)</f>
        <v>65000</v>
      </c>
      <c r="Z15" s="625">
        <f>SUM(Z8+Z14)</f>
        <v>50000</v>
      </c>
      <c r="AA15" s="625">
        <f t="shared" si="7"/>
        <v>35000</v>
      </c>
    </row>
    <row r="16" spans="1:27" s="240" customFormat="1" ht="15" x14ac:dyDescent="0.25">
      <c r="A16" s="175"/>
      <c r="B16" s="175"/>
      <c r="C16" s="175"/>
      <c r="D16" s="626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8"/>
      <c r="U16" s="627"/>
      <c r="V16" s="628"/>
      <c r="W16" s="628"/>
      <c r="X16" s="628"/>
      <c r="Y16" s="627"/>
      <c r="Z16" s="627"/>
      <c r="AA16" s="628"/>
    </row>
    <row r="17" spans="1:27" s="240" customFormat="1" ht="15" x14ac:dyDescent="0.25">
      <c r="A17" s="175"/>
      <c r="B17" s="175"/>
      <c r="C17" s="175"/>
      <c r="D17" s="629"/>
      <c r="E17" s="630"/>
      <c r="F17" s="630"/>
      <c r="G17" s="630"/>
      <c r="H17" s="630"/>
      <c r="I17" s="630"/>
      <c r="J17" s="630"/>
      <c r="K17" s="630"/>
      <c r="L17" s="630"/>
      <c r="M17" s="630"/>
      <c r="N17" s="630"/>
      <c r="O17" s="630"/>
      <c r="P17" s="630"/>
      <c r="Q17" s="630"/>
      <c r="R17" s="630"/>
      <c r="S17" s="630"/>
      <c r="U17" s="630"/>
      <c r="Y17" s="630"/>
      <c r="Z17" s="630"/>
    </row>
    <row r="18" spans="1:27" s="635" customFormat="1" ht="15.75" thickBot="1" x14ac:dyDescent="0.25">
      <c r="A18" s="631"/>
      <c r="B18" s="631"/>
      <c r="C18" s="239"/>
      <c r="D18" s="629"/>
      <c r="E18" s="632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4"/>
      <c r="Q18" s="634"/>
      <c r="R18" s="634"/>
      <c r="S18" s="633"/>
      <c r="U18" s="634"/>
      <c r="Y18" s="633"/>
      <c r="Z18" s="633"/>
    </row>
    <row r="19" spans="1:27" ht="19.5" thickBot="1" x14ac:dyDescent="0.35">
      <c r="A19" s="219" t="s">
        <v>7</v>
      </c>
      <c r="B19" s="220" t="s">
        <v>7</v>
      </c>
      <c r="C19" s="245" t="s">
        <v>10</v>
      </c>
      <c r="D19" s="274" t="s">
        <v>29</v>
      </c>
      <c r="E19" s="361" t="s">
        <v>152</v>
      </c>
      <c r="F19" s="361" t="s">
        <v>152</v>
      </c>
      <c r="G19" s="361" t="s">
        <v>152</v>
      </c>
      <c r="H19" s="362" t="s">
        <v>152</v>
      </c>
      <c r="I19" s="362" t="s">
        <v>152</v>
      </c>
      <c r="J19" s="362" t="s">
        <v>152</v>
      </c>
      <c r="K19" s="362" t="s">
        <v>152</v>
      </c>
      <c r="L19" s="362" t="s">
        <v>152</v>
      </c>
      <c r="M19" s="362" t="s">
        <v>152</v>
      </c>
      <c r="N19" s="362" t="s">
        <v>152</v>
      </c>
      <c r="O19" s="362" t="s">
        <v>152</v>
      </c>
      <c r="P19" s="362" t="s">
        <v>152</v>
      </c>
      <c r="Q19" s="362" t="s">
        <v>152</v>
      </c>
      <c r="R19" s="362" t="s">
        <v>152</v>
      </c>
      <c r="S19" s="362" t="s">
        <v>152</v>
      </c>
      <c r="T19" s="362" t="s">
        <v>152</v>
      </c>
      <c r="U19" s="362" t="s">
        <v>152</v>
      </c>
      <c r="V19" s="362" t="s">
        <v>152</v>
      </c>
      <c r="W19" s="362" t="s">
        <v>152</v>
      </c>
      <c r="X19" s="362" t="s">
        <v>152</v>
      </c>
      <c r="Y19" s="362" t="s">
        <v>152</v>
      </c>
      <c r="Z19" s="362" t="s">
        <v>152</v>
      </c>
      <c r="AA19" s="362" t="s">
        <v>152</v>
      </c>
    </row>
    <row r="20" spans="1:27" ht="15" x14ac:dyDescent="0.25">
      <c r="A20" s="247">
        <v>1100</v>
      </c>
      <c r="B20" s="227"/>
      <c r="C20" s="248" t="s">
        <v>11</v>
      </c>
      <c r="D20" s="275">
        <f>SUM(E20:AA20)</f>
        <v>9115</v>
      </c>
      <c r="E20" s="270">
        <v>740</v>
      </c>
      <c r="F20" s="270"/>
      <c r="G20" s="270">
        <v>8375</v>
      </c>
      <c r="H20" s="270"/>
      <c r="I20" s="276"/>
      <c r="J20" s="276"/>
      <c r="K20" s="276"/>
      <c r="L20" s="276"/>
      <c r="M20" s="276"/>
      <c r="N20" s="276"/>
      <c r="O20" s="276"/>
      <c r="P20" s="270"/>
      <c r="Q20" s="270"/>
      <c r="R20" s="270"/>
      <c r="S20" s="270"/>
      <c r="T20" s="276"/>
      <c r="U20" s="270"/>
      <c r="V20" s="276"/>
      <c r="W20" s="276"/>
      <c r="X20" s="270"/>
      <c r="Y20" s="276"/>
      <c r="Z20" s="276"/>
      <c r="AA20" s="270"/>
    </row>
    <row r="21" spans="1:27" ht="45" x14ac:dyDescent="0.25">
      <c r="A21" s="228">
        <v>1200</v>
      </c>
      <c r="B21" s="177"/>
      <c r="C21" s="277" t="s">
        <v>12</v>
      </c>
      <c r="D21" s="855">
        <f>SUM(E21:AA21)</f>
        <v>2185</v>
      </c>
      <c r="E21" s="271">
        <v>175</v>
      </c>
      <c r="F21" s="271"/>
      <c r="G21" s="271">
        <v>2010</v>
      </c>
      <c r="H21" s="271"/>
      <c r="I21" s="271"/>
      <c r="J21" s="271"/>
      <c r="K21" s="271"/>
      <c r="L21" s="271"/>
      <c r="M21" s="271"/>
      <c r="N21" s="271"/>
      <c r="O21" s="279"/>
      <c r="P21" s="278"/>
      <c r="Q21" s="278"/>
      <c r="R21" s="278"/>
      <c r="S21" s="278"/>
      <c r="T21" s="279"/>
      <c r="U21" s="271"/>
      <c r="V21" s="279"/>
      <c r="W21" s="279"/>
      <c r="X21" s="278"/>
      <c r="Y21" s="271"/>
      <c r="Z21" s="271"/>
      <c r="AA21" s="278"/>
    </row>
    <row r="22" spans="1:27" s="284" customFormat="1" ht="14.25" x14ac:dyDescent="0.2">
      <c r="A22" s="280">
        <v>2000</v>
      </c>
      <c r="B22" s="281"/>
      <c r="C22" s="282" t="s">
        <v>13</v>
      </c>
      <c r="D22" s="855">
        <f t="shared" ref="D22:AA22" si="13">SUM(D23+D24+D25+D26+D27)</f>
        <v>258918</v>
      </c>
      <c r="E22" s="852">
        <f t="shared" si="13"/>
        <v>15133</v>
      </c>
      <c r="F22" s="852">
        <f t="shared" si="13"/>
        <v>2626</v>
      </c>
      <c r="G22" s="852">
        <f t="shared" si="13"/>
        <v>162300</v>
      </c>
      <c r="H22" s="852">
        <f>SUM(H23+H24+H25+H26+H27)</f>
        <v>0</v>
      </c>
      <c r="I22" s="852">
        <f t="shared" si="13"/>
        <v>20054</v>
      </c>
      <c r="J22" s="852">
        <f t="shared" si="13"/>
        <v>0</v>
      </c>
      <c r="K22" s="852">
        <f>SUM(K23+K24+K25+K26+K27)</f>
        <v>0</v>
      </c>
      <c r="L22" s="852">
        <f>SUM(L23+L24+L25+L26+L27)</f>
        <v>0</v>
      </c>
      <c r="M22" s="852">
        <f>SUM(M23+M24+M25+M26+M27)</f>
        <v>0</v>
      </c>
      <c r="N22" s="852">
        <f>SUM(N23+N24+N25+N26+N27)</f>
        <v>0</v>
      </c>
      <c r="O22" s="283">
        <f>SUM(O23+O24+O25+O26+O27)</f>
        <v>0</v>
      </c>
      <c r="P22" s="283">
        <f t="shared" si="13"/>
        <v>55758</v>
      </c>
      <c r="Q22" s="283">
        <f t="shared" si="13"/>
        <v>0</v>
      </c>
      <c r="R22" s="283">
        <f t="shared" si="13"/>
        <v>3047</v>
      </c>
      <c r="S22" s="283">
        <f t="shared" si="13"/>
        <v>0</v>
      </c>
      <c r="T22" s="283">
        <f>SUM(T23+T24+T25+T26+T27)</f>
        <v>0</v>
      </c>
      <c r="U22" s="283">
        <f t="shared" si="13"/>
        <v>0</v>
      </c>
      <c r="V22" s="283">
        <f t="shared" si="13"/>
        <v>0</v>
      </c>
      <c r="W22" s="283">
        <f t="shared" si="13"/>
        <v>0</v>
      </c>
      <c r="X22" s="283">
        <f t="shared" si="13"/>
        <v>0</v>
      </c>
      <c r="Y22" s="852">
        <f>SUM(Y23+Y24+Y25+Y26+Y27)</f>
        <v>0</v>
      </c>
      <c r="Z22" s="852">
        <f>SUM(Z23+Z24+Z25+Z26+Z27)</f>
        <v>0</v>
      </c>
      <c r="AA22" s="283">
        <f t="shared" si="13"/>
        <v>0</v>
      </c>
    </row>
    <row r="23" spans="1:27" ht="15" x14ac:dyDescent="0.25">
      <c r="A23" s="228">
        <v>2100</v>
      </c>
      <c r="B23" s="177"/>
      <c r="C23" s="181" t="s">
        <v>14</v>
      </c>
      <c r="D23" s="855">
        <f t="shared" ref="D23:D33" si="14">SUM(E23:AA23)</f>
        <v>0</v>
      </c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9"/>
      <c r="P23" s="278"/>
      <c r="Q23" s="278"/>
      <c r="R23" s="278"/>
      <c r="S23" s="278"/>
      <c r="T23" s="279"/>
      <c r="U23" s="271"/>
      <c r="V23" s="279"/>
      <c r="W23" s="279"/>
      <c r="X23" s="278"/>
      <c r="Y23" s="271"/>
      <c r="Z23" s="271"/>
      <c r="AA23" s="278"/>
    </row>
    <row r="24" spans="1:27" ht="15" x14ac:dyDescent="0.25">
      <c r="A24" s="228">
        <v>2200</v>
      </c>
      <c r="B24" s="177"/>
      <c r="C24" s="181" t="s">
        <v>15</v>
      </c>
      <c r="D24" s="855">
        <f t="shared" si="14"/>
        <v>198634</v>
      </c>
      <c r="E24" s="271">
        <f>16500+315-915-1317</f>
        <v>14583</v>
      </c>
      <c r="F24" s="271">
        <f>4500-2374</f>
        <v>2126</v>
      </c>
      <c r="G24" s="271">
        <f>159185-10385</f>
        <v>148800</v>
      </c>
      <c r="H24" s="271"/>
      <c r="I24" s="271">
        <v>20054</v>
      </c>
      <c r="J24" s="271"/>
      <c r="K24" s="271"/>
      <c r="L24" s="271"/>
      <c r="M24" s="271"/>
      <c r="N24" s="271"/>
      <c r="O24" s="279"/>
      <c r="P24" s="271">
        <f>10400+500</f>
        <v>10900</v>
      </c>
      <c r="Q24" s="271"/>
      <c r="R24" s="271">
        <v>2171</v>
      </c>
      <c r="S24" s="271"/>
      <c r="T24" s="279"/>
      <c r="U24" s="271"/>
      <c r="V24" s="279"/>
      <c r="W24" s="279"/>
      <c r="X24" s="271"/>
      <c r="Y24" s="271"/>
      <c r="Z24" s="271"/>
      <c r="AA24" s="271"/>
    </row>
    <row r="25" spans="1:27" ht="15" x14ac:dyDescent="0.25">
      <c r="A25" s="228">
        <v>2300</v>
      </c>
      <c r="B25" s="177"/>
      <c r="C25" s="181" t="s">
        <v>16</v>
      </c>
      <c r="D25" s="855">
        <f t="shared" si="14"/>
        <v>59734</v>
      </c>
      <c r="E25" s="271">
        <v>500</v>
      </c>
      <c r="F25" s="271">
        <v>500</v>
      </c>
      <c r="G25" s="271">
        <v>13000</v>
      </c>
      <c r="H25" s="271"/>
      <c r="I25" s="271"/>
      <c r="J25" s="271"/>
      <c r="K25" s="271"/>
      <c r="L25" s="271"/>
      <c r="M25" s="271"/>
      <c r="N25" s="271"/>
      <c r="O25" s="279"/>
      <c r="P25" s="271">
        <f>41800+3058</f>
        <v>44858</v>
      </c>
      <c r="Q25" s="271"/>
      <c r="R25" s="271">
        <v>876</v>
      </c>
      <c r="S25" s="271"/>
      <c r="T25" s="279"/>
      <c r="U25" s="271"/>
      <c r="V25" s="279"/>
      <c r="W25" s="279"/>
      <c r="X25" s="271"/>
      <c r="Y25" s="271"/>
      <c r="Z25" s="271"/>
      <c r="AA25" s="271"/>
    </row>
    <row r="26" spans="1:27" ht="15" x14ac:dyDescent="0.25">
      <c r="A26" s="228">
        <v>2400</v>
      </c>
      <c r="B26" s="177"/>
      <c r="C26" s="181" t="s">
        <v>134</v>
      </c>
      <c r="D26" s="855">
        <f t="shared" si="14"/>
        <v>0</v>
      </c>
      <c r="E26" s="271"/>
      <c r="F26" s="271"/>
      <c r="G26" s="856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9"/>
      <c r="U26" s="271"/>
      <c r="V26" s="271"/>
      <c r="W26" s="279"/>
      <c r="X26" s="271"/>
      <c r="Y26" s="271"/>
      <c r="Z26" s="271"/>
      <c r="AA26" s="271"/>
    </row>
    <row r="27" spans="1:27" ht="15" x14ac:dyDescent="0.25">
      <c r="A27" s="228">
        <v>2500</v>
      </c>
      <c r="B27" s="177"/>
      <c r="C27" s="181" t="s">
        <v>17</v>
      </c>
      <c r="D27" s="855">
        <f t="shared" si="14"/>
        <v>550</v>
      </c>
      <c r="E27" s="857">
        <v>50</v>
      </c>
      <c r="F27" s="271"/>
      <c r="G27" s="271">
        <v>500</v>
      </c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9"/>
      <c r="U27" s="271"/>
      <c r="V27" s="271"/>
      <c r="W27" s="279"/>
      <c r="X27" s="271"/>
      <c r="Y27" s="271"/>
      <c r="Z27" s="271"/>
      <c r="AA27" s="271"/>
    </row>
    <row r="28" spans="1:27" ht="15" x14ac:dyDescent="0.25">
      <c r="A28" s="228">
        <v>3200</v>
      </c>
      <c r="B28" s="177">
        <v>3260</v>
      </c>
      <c r="C28" s="181" t="s">
        <v>135</v>
      </c>
      <c r="D28" s="855">
        <f t="shared" si="14"/>
        <v>144942</v>
      </c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>
        <v>20942</v>
      </c>
      <c r="Q28" s="271">
        <v>3000</v>
      </c>
      <c r="R28" s="271"/>
      <c r="S28" s="271"/>
      <c r="T28" s="279"/>
      <c r="U28" s="271">
        <v>61000</v>
      </c>
      <c r="V28" s="271"/>
      <c r="W28" s="279"/>
      <c r="X28" s="271">
        <v>25000</v>
      </c>
      <c r="Y28" s="271"/>
      <c r="Z28" s="271"/>
      <c r="AA28" s="271">
        <v>35000</v>
      </c>
    </row>
    <row r="29" spans="1:27" ht="15" x14ac:dyDescent="0.25">
      <c r="A29" s="228">
        <v>4310</v>
      </c>
      <c r="B29" s="177">
        <v>4311</v>
      </c>
      <c r="C29" s="181" t="s">
        <v>21</v>
      </c>
      <c r="D29" s="855">
        <f t="shared" si="14"/>
        <v>0</v>
      </c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9"/>
      <c r="U29" s="271"/>
      <c r="V29" s="271"/>
      <c r="W29" s="279"/>
      <c r="X29" s="271"/>
      <c r="Y29" s="271"/>
      <c r="Z29" s="271"/>
      <c r="AA29" s="271"/>
    </row>
    <row r="30" spans="1:27" ht="15" x14ac:dyDescent="0.25">
      <c r="A30" s="228">
        <v>5100</v>
      </c>
      <c r="B30" s="177"/>
      <c r="C30" s="181" t="s">
        <v>22</v>
      </c>
      <c r="D30" s="855">
        <f t="shared" si="14"/>
        <v>0</v>
      </c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9"/>
      <c r="U30" s="271"/>
      <c r="V30" s="271"/>
      <c r="W30" s="279"/>
      <c r="X30" s="271"/>
      <c r="Y30" s="271"/>
      <c r="Z30" s="271"/>
      <c r="AA30" s="271"/>
    </row>
    <row r="31" spans="1:27" ht="15" x14ac:dyDescent="0.25">
      <c r="A31" s="228">
        <v>5200</v>
      </c>
      <c r="B31" s="177"/>
      <c r="C31" s="181" t="s">
        <v>23</v>
      </c>
      <c r="D31" s="855">
        <f t="shared" si="14"/>
        <v>2686964</v>
      </c>
      <c r="E31" s="271">
        <f>4500+11956</f>
        <v>16456</v>
      </c>
      <c r="F31" s="271"/>
      <c r="G31" s="271"/>
      <c r="H31" s="271">
        <v>60000</v>
      </c>
      <c r="I31" s="271">
        <f>54839-20054</f>
        <v>34785</v>
      </c>
      <c r="J31" s="271">
        <v>377000</v>
      </c>
      <c r="K31" s="271">
        <v>60000</v>
      </c>
      <c r="L31" s="271">
        <v>100000</v>
      </c>
      <c r="M31" s="271">
        <v>62090</v>
      </c>
      <c r="N31" s="271">
        <v>360000</v>
      </c>
      <c r="O31" s="271">
        <f>217000+10265</f>
        <v>227265</v>
      </c>
      <c r="P31" s="271">
        <f>12000+1000</f>
        <v>13000</v>
      </c>
      <c r="Q31" s="271"/>
      <c r="R31" s="271">
        <f>201268-3047</f>
        <v>198221</v>
      </c>
      <c r="S31" s="271">
        <v>60000</v>
      </c>
      <c r="T31" s="271">
        <v>663147</v>
      </c>
      <c r="U31" s="271"/>
      <c r="V31" s="271">
        <v>140000</v>
      </c>
      <c r="W31" s="271">
        <v>200000</v>
      </c>
      <c r="X31" s="271"/>
      <c r="Y31" s="271">
        <v>65000</v>
      </c>
      <c r="Z31" s="271">
        <v>50000</v>
      </c>
      <c r="AA31" s="271"/>
    </row>
    <row r="32" spans="1:27" ht="15" x14ac:dyDescent="0.25">
      <c r="A32" s="228">
        <v>6200</v>
      </c>
      <c r="B32" s="177"/>
      <c r="C32" s="181" t="s">
        <v>24</v>
      </c>
      <c r="D32" s="855">
        <f t="shared" si="14"/>
        <v>0</v>
      </c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9"/>
      <c r="U32" s="271"/>
      <c r="V32" s="271"/>
      <c r="W32" s="279"/>
      <c r="X32" s="271"/>
      <c r="Y32" s="271"/>
      <c r="Z32" s="271"/>
      <c r="AA32" s="271"/>
    </row>
    <row r="33" spans="1:27" ht="15" x14ac:dyDescent="0.25">
      <c r="A33" s="229">
        <v>7240</v>
      </c>
      <c r="B33" s="221"/>
      <c r="C33" s="183" t="s">
        <v>136</v>
      </c>
      <c r="D33" s="855">
        <f t="shared" si="14"/>
        <v>0</v>
      </c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85"/>
      <c r="U33" s="272"/>
      <c r="V33" s="272"/>
      <c r="W33" s="285"/>
      <c r="X33" s="272"/>
      <c r="Y33" s="272"/>
      <c r="Z33" s="272"/>
      <c r="AA33" s="272"/>
    </row>
    <row r="34" spans="1:27" ht="15.75" thickBot="1" x14ac:dyDescent="0.3">
      <c r="A34" s="229">
        <v>7700</v>
      </c>
      <c r="B34" s="221">
        <v>7720</v>
      </c>
      <c r="C34" s="183" t="s">
        <v>96</v>
      </c>
      <c r="D34" s="855">
        <f>SUM(E34:X34)</f>
        <v>0</v>
      </c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85"/>
      <c r="U34" s="272"/>
      <c r="V34" s="272"/>
      <c r="W34" s="285"/>
      <c r="X34" s="272"/>
      <c r="Y34" s="272"/>
      <c r="Z34" s="272"/>
      <c r="AA34" s="272"/>
    </row>
    <row r="35" spans="1:27" ht="15" thickBot="1" x14ac:dyDescent="0.25">
      <c r="A35" s="219"/>
      <c r="B35" s="220"/>
      <c r="C35" s="180" t="s">
        <v>26</v>
      </c>
      <c r="D35" s="273">
        <f>SUM(D20+D21+D22+D28+D29+D30+D31+D32+D33+D34)</f>
        <v>3102124</v>
      </c>
      <c r="E35" s="273">
        <f t="shared" ref="E35:AA35" si="15">SUM(E20+E21+E22+E28+E29+E30+E31+E32+E33+E34)</f>
        <v>32504</v>
      </c>
      <c r="F35" s="273">
        <f t="shared" si="15"/>
        <v>2626</v>
      </c>
      <c r="G35" s="273">
        <f t="shared" si="15"/>
        <v>172685</v>
      </c>
      <c r="H35" s="273">
        <f>SUM(H20+H21+H22+H28+H29+H30+H31+H32+H33+H34)</f>
        <v>60000</v>
      </c>
      <c r="I35" s="273">
        <f t="shared" ref="I35:J35" si="16">SUM(I20+I21+I22+I28+I29+I30+I31+I32+I33+I34)</f>
        <v>54839</v>
      </c>
      <c r="J35" s="273">
        <f t="shared" si="16"/>
        <v>377000</v>
      </c>
      <c r="K35" s="273">
        <f>SUM(K20+K21+K22+K28+K29+K30+K31+K32+K33+K34)</f>
        <v>60000</v>
      </c>
      <c r="L35" s="273">
        <f>SUM(L20+L21+L22+L28+L29+L30+L31+L32+L33+L34)</f>
        <v>100000</v>
      </c>
      <c r="M35" s="273">
        <f>SUM(M20+M21+M22+M28+M29+M30+M31+M32+M33+M34)</f>
        <v>62090</v>
      </c>
      <c r="N35" s="273">
        <f>SUM(N20+N21+N22+N28+N29+N30+N31+N32+N33+N34)</f>
        <v>360000</v>
      </c>
      <c r="O35" s="273">
        <f>SUM(O20+O21+O22+O28+O29+O30+O31+O32+O33+O34)</f>
        <v>227265</v>
      </c>
      <c r="P35" s="273">
        <f t="shared" si="15"/>
        <v>89700</v>
      </c>
      <c r="Q35" s="273">
        <f t="shared" ref="Q35" si="17">SUM(Q20+Q21+Q22+Q28+Q29+Q30+Q31+Q32+Q33+Q34)</f>
        <v>3000</v>
      </c>
      <c r="R35" s="273">
        <f t="shared" si="15"/>
        <v>201268</v>
      </c>
      <c r="S35" s="273">
        <f t="shared" si="15"/>
        <v>60000</v>
      </c>
      <c r="T35" s="273">
        <f>SUM(T20+T21+T22+T28+T29+T30+T31+T32+T33+T34)</f>
        <v>663147</v>
      </c>
      <c r="U35" s="273">
        <f t="shared" si="15"/>
        <v>61000</v>
      </c>
      <c r="V35" s="273">
        <f t="shared" ref="V35" si="18">SUM(V20+V21+V22+V28+V29+V30+V31+V32+V33+V34)</f>
        <v>140000</v>
      </c>
      <c r="W35" s="273">
        <f t="shared" si="15"/>
        <v>200000</v>
      </c>
      <c r="X35" s="273">
        <f t="shared" si="15"/>
        <v>25000</v>
      </c>
      <c r="Y35" s="273">
        <f>SUM(Y20+Y21+Y22+Y28+Y29+Y30+Y31+Y32+Y33+Y34)</f>
        <v>65000</v>
      </c>
      <c r="Z35" s="273">
        <f>SUM(Z20+Z21+Z22+Z28+Z29+Z30+Z31+Z32+Z33+Z34)</f>
        <v>50000</v>
      </c>
      <c r="AA35" s="273">
        <f t="shared" si="15"/>
        <v>35000</v>
      </c>
    </row>
    <row r="36" spans="1:27" ht="15.75" thickBot="1" x14ac:dyDescent="0.3">
      <c r="A36" s="223"/>
      <c r="B36" s="224"/>
      <c r="C36" s="182"/>
      <c r="D36" s="286">
        <f>D15-D35</f>
        <v>0</v>
      </c>
      <c r="E36" s="286">
        <f t="shared" ref="E36:AA36" si="19">E15-E35</f>
        <v>0</v>
      </c>
      <c r="F36" s="286">
        <f t="shared" si="19"/>
        <v>0</v>
      </c>
      <c r="G36" s="286">
        <f t="shared" si="19"/>
        <v>0</v>
      </c>
      <c r="H36" s="286">
        <f>H15-H35</f>
        <v>0</v>
      </c>
      <c r="I36" s="286">
        <f t="shared" ref="I36:J36" si="20">I15-I35</f>
        <v>0</v>
      </c>
      <c r="J36" s="286">
        <f t="shared" si="20"/>
        <v>0</v>
      </c>
      <c r="K36" s="286">
        <f>K15-K35</f>
        <v>0</v>
      </c>
      <c r="L36" s="286">
        <f>L15-L35</f>
        <v>0</v>
      </c>
      <c r="M36" s="286">
        <f>M15-M35</f>
        <v>0</v>
      </c>
      <c r="N36" s="286">
        <f>N15-N35</f>
        <v>0</v>
      </c>
      <c r="O36" s="286">
        <f>O15-O35</f>
        <v>0</v>
      </c>
      <c r="P36" s="858">
        <f t="shared" si="19"/>
        <v>0</v>
      </c>
      <c r="Q36" s="858">
        <f t="shared" ref="Q36" si="21">Q15-Q35</f>
        <v>0</v>
      </c>
      <c r="R36" s="859">
        <f t="shared" si="19"/>
        <v>0</v>
      </c>
      <c r="S36" s="286">
        <f t="shared" si="19"/>
        <v>0</v>
      </c>
      <c r="T36" s="286">
        <f>T15-T35</f>
        <v>0</v>
      </c>
      <c r="U36" s="286">
        <f t="shared" si="19"/>
        <v>0</v>
      </c>
      <c r="V36" s="286">
        <f t="shared" ref="V36" si="22">V15-V35</f>
        <v>0</v>
      </c>
      <c r="W36" s="286">
        <f t="shared" si="19"/>
        <v>0</v>
      </c>
      <c r="X36" s="286">
        <f t="shared" si="19"/>
        <v>0</v>
      </c>
      <c r="Y36" s="286">
        <f t="shared" ref="Y36:Z36" si="23">Y15-Y35</f>
        <v>0</v>
      </c>
      <c r="Z36" s="286">
        <f t="shared" si="23"/>
        <v>0</v>
      </c>
      <c r="AA36" s="286">
        <f t="shared" si="19"/>
        <v>0</v>
      </c>
    </row>
    <row r="37" spans="1:27" x14ac:dyDescent="0.2">
      <c r="E37" s="287"/>
      <c r="F37" s="853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880"/>
      <c r="U37" s="287"/>
      <c r="V37" s="287"/>
      <c r="W37" s="287"/>
      <c r="X37" s="287"/>
      <c r="Y37" s="287"/>
      <c r="Z37" s="287"/>
      <c r="AA37" s="287"/>
    </row>
    <row r="38" spans="1:27" ht="15" x14ac:dyDescent="0.25">
      <c r="C38" s="5" t="s">
        <v>916</v>
      </c>
      <c r="D38" s="1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</row>
    <row r="40" spans="1:27" x14ac:dyDescent="0.2"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</row>
    <row r="42" spans="1:27" x14ac:dyDescent="0.2">
      <c r="C42" s="474"/>
    </row>
    <row r="43" spans="1:27" x14ac:dyDescent="0.2"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</row>
    <row r="151" s="237" customFormat="1" x14ac:dyDescent="0.2"/>
  </sheetData>
  <mergeCells count="2">
    <mergeCell ref="A5:C5"/>
    <mergeCell ref="A6:C6"/>
  </mergeCells>
  <pageMargins left="0.11811023622047245" right="0.11811023622047245" top="0.74803149606299213" bottom="0.35433070866141736" header="0.31496062992125984" footer="0.31496062992125984"/>
  <pageSetup paperSize="8" scale="5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3"/>
  <sheetViews>
    <sheetView zoomScale="98" zoomScaleNormal="98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N3" sqref="N3"/>
    </sheetView>
  </sheetViews>
  <sheetFormatPr defaultColWidth="9.140625" defaultRowHeight="12.75" x14ac:dyDescent="0.2"/>
  <cols>
    <col min="1" max="1" width="6.140625" style="499" customWidth="1"/>
    <col min="2" max="2" width="5.85546875" style="499" customWidth="1"/>
    <col min="3" max="3" width="30.140625" style="554" customWidth="1"/>
    <col min="4" max="4" width="9.140625" style="499" customWidth="1"/>
    <col min="5" max="5" width="6.85546875" style="499" hidden="1" customWidth="1"/>
    <col min="6" max="6" width="14.140625" style="499" customWidth="1"/>
    <col min="7" max="7" width="16" style="499" customWidth="1"/>
    <col min="8" max="8" width="11.85546875" style="499" customWidth="1"/>
    <col min="9" max="9" width="14.140625" style="499" customWidth="1"/>
    <col min="10" max="10" width="13.85546875" style="499" customWidth="1"/>
    <col min="11" max="11" width="16.85546875" style="499" customWidth="1"/>
    <col min="12" max="12" width="15.5703125" style="499" customWidth="1"/>
    <col min="13" max="14" width="13.85546875" style="499" customWidth="1"/>
    <col min="15" max="15" width="14.85546875" style="499" customWidth="1"/>
    <col min="16" max="17" width="14.42578125" style="499" customWidth="1"/>
    <col min="18" max="18" width="13.85546875" style="499" customWidth="1"/>
    <col min="19" max="19" width="15.85546875" style="499" customWidth="1"/>
    <col min="20" max="20" width="11.140625" style="499" customWidth="1"/>
    <col min="21" max="21" width="16.28515625" style="499" customWidth="1"/>
    <col min="22" max="22" width="14.42578125" style="499" customWidth="1"/>
    <col min="23" max="23" width="11.5703125" style="499" customWidth="1"/>
    <col min="24" max="24" width="13" style="499" bestFit="1" customWidth="1"/>
    <col min="25" max="25" width="15.85546875" style="499" customWidth="1"/>
    <col min="26" max="27" width="15.5703125" style="499" customWidth="1"/>
    <col min="28" max="28" width="13.140625" style="499" customWidth="1"/>
    <col min="29" max="30" width="11" style="499" customWidth="1"/>
    <col min="31" max="31" width="13" style="499" customWidth="1"/>
    <col min="32" max="33" width="11.140625" style="499" customWidth="1"/>
    <col min="34" max="34" width="13.5703125" style="499" customWidth="1"/>
    <col min="35" max="35" width="18.85546875" style="499" customWidth="1"/>
    <col min="36" max="36" width="15.28515625" style="499" customWidth="1"/>
    <col min="37" max="37" width="14.140625" style="499" customWidth="1"/>
    <col min="38" max="38" width="13.5703125" style="499" customWidth="1"/>
    <col min="39" max="39" width="14.140625" style="499" customWidth="1"/>
    <col min="40" max="40" width="15.42578125" style="499" customWidth="1"/>
    <col min="41" max="41" width="10.85546875" style="499" customWidth="1"/>
    <col min="42" max="42" width="16.28515625" style="499" customWidth="1"/>
    <col min="43" max="43" width="13" style="499" customWidth="1"/>
    <col min="44" max="44" width="16.85546875" style="499" customWidth="1"/>
    <col min="46" max="16384" width="9.140625" style="499"/>
  </cols>
  <sheetData>
    <row r="1" spans="1:44" x14ac:dyDescent="0.2">
      <c r="U1" s="499" t="s">
        <v>169</v>
      </c>
      <c r="AR1" s="550" t="s">
        <v>203</v>
      </c>
    </row>
    <row r="2" spans="1:44" s="500" customFormat="1" x14ac:dyDescent="0.2">
      <c r="C2" s="551" t="s">
        <v>0</v>
      </c>
    </row>
    <row r="3" spans="1:44" s="501" customFormat="1" x14ac:dyDescent="0.2">
      <c r="C3" s="552"/>
    </row>
    <row r="4" spans="1:44" ht="15.75" x14ac:dyDescent="0.25">
      <c r="A4" s="502" t="s">
        <v>621</v>
      </c>
      <c r="B4" s="502"/>
      <c r="C4" s="553"/>
      <c r="D4" s="502"/>
      <c r="E4" s="502"/>
      <c r="F4" s="502"/>
      <c r="G4" s="502"/>
      <c r="H4" s="213"/>
      <c r="I4" s="213"/>
      <c r="J4" s="503"/>
      <c r="K4" s="503"/>
      <c r="L4" s="503"/>
      <c r="M4" s="503"/>
      <c r="N4" s="503"/>
      <c r="O4" s="503"/>
      <c r="P4" s="214"/>
      <c r="Q4" s="214"/>
      <c r="R4" s="503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502"/>
      <c r="AP4" s="214"/>
      <c r="AQ4" s="502"/>
      <c r="AR4" s="502"/>
    </row>
    <row r="5" spans="1:44" ht="13.5" thickBot="1" x14ac:dyDescent="0.25">
      <c r="A5" s="502" t="s">
        <v>728</v>
      </c>
      <c r="B5" s="502"/>
      <c r="E5" s="215"/>
      <c r="F5" s="215"/>
      <c r="G5" s="215"/>
      <c r="H5" s="215"/>
      <c r="I5" s="215"/>
      <c r="J5" s="215"/>
      <c r="K5" s="215"/>
      <c r="L5" s="215"/>
      <c r="M5" s="215"/>
      <c r="N5" s="504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</row>
    <row r="6" spans="1:44" ht="16.5" thickBot="1" x14ac:dyDescent="0.3">
      <c r="A6" s="861"/>
      <c r="B6" s="862"/>
      <c r="C6" s="863" t="s">
        <v>122</v>
      </c>
      <c r="D6" s="864"/>
      <c r="E6" s="865"/>
      <c r="F6" s="866" t="s">
        <v>900</v>
      </c>
      <c r="G6" s="866" t="s">
        <v>901</v>
      </c>
      <c r="H6" s="866" t="s">
        <v>170</v>
      </c>
      <c r="I6" s="867" t="s">
        <v>684</v>
      </c>
      <c r="J6" s="505" t="s">
        <v>171</v>
      </c>
      <c r="K6" s="505" t="s">
        <v>686</v>
      </c>
      <c r="L6" s="505" t="s">
        <v>688</v>
      </c>
      <c r="M6" s="505" t="s">
        <v>596</v>
      </c>
      <c r="N6" s="505" t="s">
        <v>586</v>
      </c>
      <c r="O6" s="505" t="s">
        <v>698</v>
      </c>
      <c r="P6" s="505" t="s">
        <v>837</v>
      </c>
      <c r="Q6" s="505" t="s">
        <v>905</v>
      </c>
      <c r="R6" s="505" t="s">
        <v>588</v>
      </c>
      <c r="S6" s="505" t="s">
        <v>617</v>
      </c>
      <c r="T6" s="868" t="s">
        <v>262</v>
      </c>
      <c r="U6" s="868" t="s">
        <v>701</v>
      </c>
      <c r="V6" s="868" t="s">
        <v>908</v>
      </c>
      <c r="W6" s="505" t="s">
        <v>700</v>
      </c>
      <c r="X6" s="868" t="s">
        <v>398</v>
      </c>
      <c r="Y6" s="505" t="s">
        <v>706</v>
      </c>
      <c r="Z6" s="505" t="s">
        <v>704</v>
      </c>
      <c r="AA6" s="505" t="s">
        <v>615</v>
      </c>
      <c r="AB6" s="505" t="s">
        <v>708</v>
      </c>
      <c r="AC6" s="505" t="s">
        <v>583</v>
      </c>
      <c r="AD6" s="505" t="s">
        <v>584</v>
      </c>
      <c r="AE6" s="505" t="s">
        <v>341</v>
      </c>
      <c r="AF6" s="505" t="s">
        <v>342</v>
      </c>
      <c r="AG6" s="505" t="s">
        <v>936</v>
      </c>
      <c r="AH6" s="505" t="s">
        <v>597</v>
      </c>
      <c r="AI6" s="505" t="s">
        <v>616</v>
      </c>
      <c r="AJ6" s="505" t="s">
        <v>400</v>
      </c>
      <c r="AK6" s="505" t="s">
        <v>464</v>
      </c>
      <c r="AL6" s="505" t="s">
        <v>465</v>
      </c>
      <c r="AM6" s="505" t="s">
        <v>466</v>
      </c>
      <c r="AN6" s="505" t="s">
        <v>553</v>
      </c>
      <c r="AO6" s="869" t="s">
        <v>556</v>
      </c>
      <c r="AP6" s="505" t="s">
        <v>595</v>
      </c>
      <c r="AQ6" s="869" t="s">
        <v>710</v>
      </c>
      <c r="AR6" s="869" t="s">
        <v>712</v>
      </c>
    </row>
    <row r="7" spans="1:44" s="215" customFormat="1" ht="125.25" customHeight="1" thickBot="1" x14ac:dyDescent="0.25">
      <c r="A7" s="506"/>
      <c r="B7" s="507"/>
      <c r="C7" s="555"/>
      <c r="D7" s="507" t="s">
        <v>94</v>
      </c>
      <c r="E7" s="838"/>
      <c r="F7" s="571" t="s">
        <v>902</v>
      </c>
      <c r="G7" s="571" t="s">
        <v>903</v>
      </c>
      <c r="H7" s="569" t="s">
        <v>231</v>
      </c>
      <c r="I7" s="649" t="s">
        <v>685</v>
      </c>
      <c r="J7" s="569" t="s">
        <v>233</v>
      </c>
      <c r="K7" s="744" t="s">
        <v>687</v>
      </c>
      <c r="L7" s="744" t="s">
        <v>689</v>
      </c>
      <c r="M7" s="572" t="s">
        <v>932</v>
      </c>
      <c r="N7" s="573" t="s">
        <v>587</v>
      </c>
      <c r="O7" s="745" t="s">
        <v>699</v>
      </c>
      <c r="P7" s="573" t="s">
        <v>842</v>
      </c>
      <c r="Q7" s="745" t="s">
        <v>906</v>
      </c>
      <c r="R7" s="573" t="s">
        <v>589</v>
      </c>
      <c r="S7" s="575" t="s">
        <v>690</v>
      </c>
      <c r="T7" s="569" t="s">
        <v>232</v>
      </c>
      <c r="U7" s="746" t="s">
        <v>702</v>
      </c>
      <c r="V7" s="745" t="s">
        <v>910</v>
      </c>
      <c r="W7" s="746" t="s">
        <v>703</v>
      </c>
      <c r="X7" s="569" t="s">
        <v>399</v>
      </c>
      <c r="Y7" s="747" t="s">
        <v>707</v>
      </c>
      <c r="Z7" s="745" t="s">
        <v>705</v>
      </c>
      <c r="AA7" s="574" t="s">
        <v>848</v>
      </c>
      <c r="AB7" s="651" t="s">
        <v>709</v>
      </c>
      <c r="AC7" s="569" t="s">
        <v>847</v>
      </c>
      <c r="AD7" s="569" t="s">
        <v>846</v>
      </c>
      <c r="AE7" s="569" t="s">
        <v>343</v>
      </c>
      <c r="AF7" s="569" t="s">
        <v>344</v>
      </c>
      <c r="AG7" s="896" t="s">
        <v>937</v>
      </c>
      <c r="AH7" s="569" t="s">
        <v>598</v>
      </c>
      <c r="AI7" s="873" t="s">
        <v>930</v>
      </c>
      <c r="AJ7" s="569" t="s">
        <v>845</v>
      </c>
      <c r="AK7" s="573" t="s">
        <v>467</v>
      </c>
      <c r="AL7" s="573" t="s">
        <v>468</v>
      </c>
      <c r="AM7" s="575" t="s">
        <v>844</v>
      </c>
      <c r="AN7" s="573" t="s">
        <v>554</v>
      </c>
      <c r="AO7" s="571" t="s">
        <v>557</v>
      </c>
      <c r="AP7" s="573" t="s">
        <v>931</v>
      </c>
      <c r="AQ7" s="651" t="s">
        <v>711</v>
      </c>
      <c r="AR7" s="651" t="s">
        <v>843</v>
      </c>
    </row>
    <row r="8" spans="1:44" ht="15.75" customHeight="1" thickBot="1" x14ac:dyDescent="0.25">
      <c r="A8" s="509" t="s">
        <v>7</v>
      </c>
      <c r="B8" s="510" t="s">
        <v>7</v>
      </c>
      <c r="C8" s="899" t="s">
        <v>8</v>
      </c>
      <c r="D8" s="511" t="s">
        <v>28</v>
      </c>
      <c r="E8" s="837" t="s">
        <v>152</v>
      </c>
      <c r="F8" s="508" t="s">
        <v>152</v>
      </c>
      <c r="G8" s="508" t="s">
        <v>152</v>
      </c>
      <c r="H8" s="508" t="s">
        <v>152</v>
      </c>
      <c r="I8" s="508" t="s">
        <v>152</v>
      </c>
      <c r="J8" s="508" t="s">
        <v>152</v>
      </c>
      <c r="K8" s="508" t="s">
        <v>152</v>
      </c>
      <c r="L8" s="508" t="s">
        <v>152</v>
      </c>
      <c r="M8" s="508" t="s">
        <v>152</v>
      </c>
      <c r="N8" s="508" t="s">
        <v>152</v>
      </c>
      <c r="O8" s="508" t="s">
        <v>152</v>
      </c>
      <c r="P8" s="508" t="s">
        <v>152</v>
      </c>
      <c r="Q8" s="508"/>
      <c r="R8" s="508" t="s">
        <v>152</v>
      </c>
      <c r="S8" s="508" t="s">
        <v>152</v>
      </c>
      <c r="T8" s="508" t="s">
        <v>152</v>
      </c>
      <c r="U8" s="508" t="s">
        <v>152</v>
      </c>
      <c r="V8" s="508" t="s">
        <v>152</v>
      </c>
      <c r="W8" s="508" t="s">
        <v>152</v>
      </c>
      <c r="X8" s="508" t="s">
        <v>152</v>
      </c>
      <c r="Y8" s="508" t="s">
        <v>152</v>
      </c>
      <c r="Z8" s="508" t="s">
        <v>152</v>
      </c>
      <c r="AA8" s="508" t="s">
        <v>152</v>
      </c>
      <c r="AB8" s="508" t="s">
        <v>152</v>
      </c>
      <c r="AC8" s="508" t="s">
        <v>152</v>
      </c>
      <c r="AD8" s="508" t="s">
        <v>152</v>
      </c>
      <c r="AE8" s="508" t="s">
        <v>152</v>
      </c>
      <c r="AF8" s="508" t="s">
        <v>152</v>
      </c>
      <c r="AG8" s="508" t="s">
        <v>152</v>
      </c>
      <c r="AH8" s="508" t="s">
        <v>152</v>
      </c>
      <c r="AI8" s="508" t="s">
        <v>152</v>
      </c>
      <c r="AJ8" s="508" t="s">
        <v>152</v>
      </c>
      <c r="AK8" s="508" t="s">
        <v>152</v>
      </c>
      <c r="AL8" s="508" t="s">
        <v>152</v>
      </c>
      <c r="AM8" s="508" t="s">
        <v>152</v>
      </c>
      <c r="AN8" s="508" t="s">
        <v>152</v>
      </c>
      <c r="AO8" s="508" t="s">
        <v>152</v>
      </c>
      <c r="AP8" s="508" t="s">
        <v>152</v>
      </c>
      <c r="AQ8" s="508" t="s">
        <v>152</v>
      </c>
      <c r="AR8" s="508" t="s">
        <v>152</v>
      </c>
    </row>
    <row r="9" spans="1:44" s="502" customFormat="1" x14ac:dyDescent="0.2">
      <c r="A9" s="512"/>
      <c r="B9" s="513"/>
      <c r="C9" s="556" t="s">
        <v>131</v>
      </c>
      <c r="D9" s="514">
        <f>SUM(E9:AR9)</f>
        <v>612929</v>
      </c>
      <c r="E9" s="515"/>
      <c r="F9" s="515"/>
      <c r="G9" s="515"/>
      <c r="H9" s="515"/>
      <c r="I9" s="515">
        <v>41623</v>
      </c>
      <c r="J9" s="515"/>
      <c r="K9" s="515"/>
      <c r="L9" s="515">
        <v>53613</v>
      </c>
      <c r="M9" s="515"/>
      <c r="N9" s="515"/>
      <c r="O9" s="515">
        <v>10394</v>
      </c>
      <c r="P9" s="515">
        <v>3320</v>
      </c>
      <c r="Q9" s="515"/>
      <c r="R9" s="515">
        <v>17650</v>
      </c>
      <c r="S9" s="515">
        <v>131028</v>
      </c>
      <c r="T9" s="515"/>
      <c r="U9" s="515">
        <v>5696</v>
      </c>
      <c r="V9" s="515"/>
      <c r="W9" s="515">
        <v>907</v>
      </c>
      <c r="X9" s="515"/>
      <c r="Y9" s="515">
        <v>6651</v>
      </c>
      <c r="Z9" s="515">
        <v>13120</v>
      </c>
      <c r="AA9" s="515">
        <v>9954</v>
      </c>
      <c r="AB9" s="515">
        <v>43538</v>
      </c>
      <c r="AC9" s="515">
        <v>1484</v>
      </c>
      <c r="AD9" s="515">
        <v>7031</v>
      </c>
      <c r="AE9" s="515"/>
      <c r="AF9" s="515"/>
      <c r="AG9" s="515"/>
      <c r="AH9" s="515">
        <v>4557</v>
      </c>
      <c r="AI9" s="515">
        <v>33030</v>
      </c>
      <c r="AJ9" s="515">
        <v>7658</v>
      </c>
      <c r="AK9" s="515">
        <v>4607</v>
      </c>
      <c r="AL9" s="515">
        <v>2041</v>
      </c>
      <c r="AM9" s="515">
        <v>16389</v>
      </c>
      <c r="AN9" s="515">
        <v>9170</v>
      </c>
      <c r="AO9" s="515"/>
      <c r="AP9" s="515">
        <f>2084+20520</f>
        <v>22604</v>
      </c>
      <c r="AQ9" s="515">
        <v>17992</v>
      </c>
      <c r="AR9" s="515">
        <v>148872</v>
      </c>
    </row>
    <row r="10" spans="1:44" x14ac:dyDescent="0.2">
      <c r="A10" s="516"/>
      <c r="B10" s="517"/>
      <c r="C10" s="557" t="s">
        <v>618</v>
      </c>
      <c r="D10" s="518">
        <f>SUM(E10:AR10)</f>
        <v>109858</v>
      </c>
      <c r="E10" s="519"/>
      <c r="F10" s="519"/>
      <c r="G10" s="519"/>
      <c r="H10" s="520"/>
      <c r="I10" s="520"/>
      <c r="J10" s="519">
        <v>33821</v>
      </c>
      <c r="K10" s="519"/>
      <c r="L10" s="519"/>
      <c r="M10" s="520"/>
      <c r="N10" s="520"/>
      <c r="O10" s="520"/>
      <c r="P10" s="520"/>
      <c r="Q10" s="520"/>
      <c r="R10" s="520"/>
      <c r="S10" s="520"/>
      <c r="T10" s="520">
        <f>5000-700</f>
        <v>4300</v>
      </c>
      <c r="U10" s="520"/>
      <c r="V10" s="520"/>
      <c r="W10" s="520"/>
      <c r="X10" s="520"/>
      <c r="Y10" s="520"/>
      <c r="Z10" s="520"/>
      <c r="AA10" s="520">
        <v>93</v>
      </c>
      <c r="AB10" s="520"/>
      <c r="AC10" s="520"/>
      <c r="AD10" s="520"/>
      <c r="AE10" s="519">
        <v>10800</v>
      </c>
      <c r="AF10" s="520">
        <v>24400</v>
      </c>
      <c r="AG10" s="520"/>
      <c r="AH10" s="520"/>
      <c r="AI10" s="520">
        <v>5542</v>
      </c>
      <c r="AJ10" s="520"/>
      <c r="AK10" s="520"/>
      <c r="AL10" s="520"/>
      <c r="AM10" s="520">
        <v>902</v>
      </c>
      <c r="AN10" s="520"/>
      <c r="AO10" s="520">
        <v>30000</v>
      </c>
      <c r="AP10" s="520"/>
      <c r="AQ10" s="520"/>
      <c r="AR10" s="520"/>
    </row>
    <row r="11" spans="1:44" s="502" customFormat="1" x14ac:dyDescent="0.2">
      <c r="A11" s="521"/>
      <c r="B11" s="522"/>
      <c r="C11" s="557" t="s">
        <v>53</v>
      </c>
      <c r="D11" s="518">
        <f>D12+D14+D15+D13</f>
        <v>1140225</v>
      </c>
      <c r="E11" s="523">
        <f>E12+E14+E15+E13</f>
        <v>0</v>
      </c>
      <c r="F11" s="523">
        <f t="shared" ref="F11:AN11" si="0">F12+F14+F15+F13</f>
        <v>37310</v>
      </c>
      <c r="G11" s="523">
        <f t="shared" si="0"/>
        <v>15660</v>
      </c>
      <c r="H11" s="523">
        <f t="shared" si="0"/>
        <v>145000</v>
      </c>
      <c r="I11" s="523">
        <f t="shared" si="0"/>
        <v>10937</v>
      </c>
      <c r="J11" s="523">
        <f t="shared" si="0"/>
        <v>0</v>
      </c>
      <c r="K11" s="523">
        <f t="shared" si="0"/>
        <v>10460</v>
      </c>
      <c r="L11" s="523">
        <f t="shared" si="0"/>
        <v>20116</v>
      </c>
      <c r="M11" s="523">
        <f t="shared" si="0"/>
        <v>852</v>
      </c>
      <c r="N11" s="523">
        <f t="shared" si="0"/>
        <v>11690</v>
      </c>
      <c r="O11" s="523">
        <f t="shared" ref="O11:Q11" si="1">O12+O14+O15+O13</f>
        <v>5522</v>
      </c>
      <c r="P11" s="523">
        <f t="shared" si="1"/>
        <v>0</v>
      </c>
      <c r="Q11" s="523">
        <f t="shared" si="1"/>
        <v>47817</v>
      </c>
      <c r="R11" s="523">
        <f t="shared" si="0"/>
        <v>46542</v>
      </c>
      <c r="S11" s="523">
        <f>S12+S14+S15+S13</f>
        <v>238927</v>
      </c>
      <c r="T11" s="523">
        <f t="shared" si="0"/>
        <v>0</v>
      </c>
      <c r="U11" s="523">
        <f t="shared" ref="U11:W11" si="2">U12+U14+U15+U13</f>
        <v>1500</v>
      </c>
      <c r="V11" s="523">
        <f t="shared" si="2"/>
        <v>84769</v>
      </c>
      <c r="W11" s="523">
        <f t="shared" si="2"/>
        <v>0</v>
      </c>
      <c r="X11" s="523">
        <f t="shared" si="0"/>
        <v>4013</v>
      </c>
      <c r="Y11" s="523">
        <f t="shared" ref="Y11" si="3">Y12+Y14+Y15+Y13</f>
        <v>11564</v>
      </c>
      <c r="Z11" s="523">
        <f t="shared" si="0"/>
        <v>7040</v>
      </c>
      <c r="AA11" s="523">
        <f t="shared" si="0"/>
        <v>33303</v>
      </c>
      <c r="AB11" s="523">
        <f t="shared" ref="AB11" si="4">AB12+AB14+AB15+AB13</f>
        <v>10909</v>
      </c>
      <c r="AC11" s="523">
        <f t="shared" si="0"/>
        <v>0</v>
      </c>
      <c r="AD11" s="523">
        <f t="shared" si="0"/>
        <v>0</v>
      </c>
      <c r="AE11" s="523">
        <f t="shared" si="0"/>
        <v>0</v>
      </c>
      <c r="AF11" s="523">
        <f t="shared" si="0"/>
        <v>0</v>
      </c>
      <c r="AG11" s="523">
        <f t="shared" ref="AG11" si="5">AG12+AG14+AG15+AG13</f>
        <v>34766</v>
      </c>
      <c r="AH11" s="523">
        <f t="shared" si="0"/>
        <v>0</v>
      </c>
      <c r="AI11" s="523">
        <f>AI12+AI14+AI15+AI13</f>
        <v>86718</v>
      </c>
      <c r="AJ11" s="523">
        <f t="shared" si="0"/>
        <v>0</v>
      </c>
      <c r="AK11" s="523">
        <f t="shared" si="0"/>
        <v>0</v>
      </c>
      <c r="AL11" s="523">
        <f t="shared" si="0"/>
        <v>0</v>
      </c>
      <c r="AM11" s="523">
        <f>AM12+AM14+AM15+AM13</f>
        <v>66028</v>
      </c>
      <c r="AN11" s="523">
        <f t="shared" si="0"/>
        <v>6660</v>
      </c>
      <c r="AO11" s="523">
        <f>AO12+AO14+AO15+AO13</f>
        <v>0</v>
      </c>
      <c r="AP11" s="523">
        <f>AP12+AP14+AP15+AP13</f>
        <v>10260</v>
      </c>
      <c r="AQ11" s="523">
        <f>AQ12+AQ14+AQ15+AQ13</f>
        <v>4498</v>
      </c>
      <c r="AR11" s="523">
        <f>AR12+AR14+AR15+AR13</f>
        <v>187364</v>
      </c>
    </row>
    <row r="12" spans="1:44" x14ac:dyDescent="0.2">
      <c r="A12" s="524" t="s">
        <v>191</v>
      </c>
      <c r="B12" s="517"/>
      <c r="C12" s="557" t="s">
        <v>137</v>
      </c>
      <c r="D12" s="525">
        <f>SUM(E12:AR12)</f>
        <v>887608</v>
      </c>
      <c r="E12" s="520"/>
      <c r="F12" s="520"/>
      <c r="G12" s="520"/>
      <c r="H12" s="520"/>
      <c r="I12" s="520">
        <v>10937</v>
      </c>
      <c r="J12" s="520"/>
      <c r="K12" s="520"/>
      <c r="L12" s="520">
        <v>20116</v>
      </c>
      <c r="M12" s="520">
        <v>852</v>
      </c>
      <c r="N12" s="520"/>
      <c r="O12" s="520">
        <v>5522</v>
      </c>
      <c r="P12" s="520"/>
      <c r="Q12" s="520">
        <v>47817</v>
      </c>
      <c r="R12" s="520">
        <v>46542</v>
      </c>
      <c r="S12" s="520">
        <f>134851+104076</f>
        <v>238927</v>
      </c>
      <c r="T12" s="520"/>
      <c r="U12" s="520">
        <v>1500</v>
      </c>
      <c r="V12" s="520">
        <v>84769</v>
      </c>
      <c r="W12" s="520"/>
      <c r="X12" s="520"/>
      <c r="Y12" s="520"/>
      <c r="Z12" s="520">
        <v>7040</v>
      </c>
      <c r="AA12" s="520">
        <v>33303</v>
      </c>
      <c r="AB12" s="520">
        <v>10909</v>
      </c>
      <c r="AC12" s="520"/>
      <c r="AD12" s="520"/>
      <c r="AE12" s="520"/>
      <c r="AF12" s="520"/>
      <c r="AG12" s="520">
        <v>34766</v>
      </c>
      <c r="AH12" s="520"/>
      <c r="AI12" s="520">
        <v>86718</v>
      </c>
      <c r="AJ12" s="520"/>
      <c r="AK12" s="520"/>
      <c r="AL12" s="520"/>
      <c r="AM12" s="520">
        <v>66028</v>
      </c>
      <c r="AN12" s="520"/>
      <c r="AO12" s="520"/>
      <c r="AP12" s="520"/>
      <c r="AQ12" s="520">
        <f>22490-17992</f>
        <v>4498</v>
      </c>
      <c r="AR12" s="520">
        <f>380374-204042+3792+7240</f>
        <v>187364</v>
      </c>
    </row>
    <row r="13" spans="1:44" x14ac:dyDescent="0.2">
      <c r="A13" s="524" t="s">
        <v>192</v>
      </c>
      <c r="B13" s="517"/>
      <c r="C13" s="557" t="s">
        <v>619</v>
      </c>
      <c r="D13" s="525">
        <f>SUM(E13:AR13)</f>
        <v>149013</v>
      </c>
      <c r="E13" s="520"/>
      <c r="F13" s="520"/>
      <c r="G13" s="520"/>
      <c r="H13" s="520">
        <v>145000</v>
      </c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>
        <v>4013</v>
      </c>
      <c r="Y13" s="520"/>
      <c r="Z13" s="520"/>
      <c r="AA13" s="520"/>
      <c r="AB13" s="520"/>
      <c r="AC13" s="520"/>
      <c r="AD13" s="520"/>
      <c r="AE13" s="520"/>
      <c r="AF13" s="520"/>
      <c r="AG13" s="520"/>
      <c r="AH13" s="520"/>
      <c r="AI13" s="520"/>
      <c r="AJ13" s="520"/>
      <c r="AK13" s="520"/>
      <c r="AL13" s="520"/>
      <c r="AM13" s="520"/>
      <c r="AN13" s="520"/>
      <c r="AO13" s="520"/>
      <c r="AP13" s="520"/>
      <c r="AQ13" s="520"/>
      <c r="AR13" s="520"/>
    </row>
    <row r="14" spans="1:44" x14ac:dyDescent="0.2">
      <c r="A14" s="524" t="s">
        <v>234</v>
      </c>
      <c r="B14" s="517"/>
      <c r="C14" s="557" t="s">
        <v>137</v>
      </c>
      <c r="D14" s="525">
        <f>SUM(E14:AR14)</f>
        <v>0</v>
      </c>
      <c r="E14" s="520"/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520"/>
      <c r="Q14" s="520"/>
      <c r="R14" s="520"/>
      <c r="S14" s="520"/>
      <c r="T14" s="520"/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520"/>
      <c r="AF14" s="520"/>
      <c r="AG14" s="520"/>
      <c r="AH14" s="520"/>
      <c r="AI14" s="520"/>
      <c r="AJ14" s="520"/>
      <c r="AK14" s="520"/>
      <c r="AL14" s="520"/>
      <c r="AM14" s="520"/>
      <c r="AN14" s="520"/>
      <c r="AO14" s="520"/>
      <c r="AP14" s="520"/>
      <c r="AQ14" s="520"/>
      <c r="AR14" s="520"/>
    </row>
    <row r="15" spans="1:44" ht="13.5" thickBot="1" x14ac:dyDescent="0.25">
      <c r="A15" s="524" t="s">
        <v>193</v>
      </c>
      <c r="B15" s="526"/>
      <c r="C15" s="558" t="s">
        <v>620</v>
      </c>
      <c r="D15" s="527">
        <f>SUM(E15:AR15)</f>
        <v>103604</v>
      </c>
      <c r="E15" s="528"/>
      <c r="F15" s="836">
        <v>37310</v>
      </c>
      <c r="G15" s="836">
        <v>15660</v>
      </c>
      <c r="H15" s="529"/>
      <c r="I15" s="529"/>
      <c r="J15" s="515"/>
      <c r="K15" s="515">
        <v>10460</v>
      </c>
      <c r="L15" s="515"/>
      <c r="M15" s="515"/>
      <c r="N15" s="515">
        <f>14210-2520</f>
        <v>11690</v>
      </c>
      <c r="O15" s="515"/>
      <c r="P15" s="515"/>
      <c r="Q15" s="515"/>
      <c r="R15" s="515"/>
      <c r="S15" s="515"/>
      <c r="T15" s="515"/>
      <c r="U15" s="515"/>
      <c r="V15" s="515"/>
      <c r="W15" s="515"/>
      <c r="X15" s="515"/>
      <c r="Y15" s="515">
        <v>11564</v>
      </c>
      <c r="Z15" s="515"/>
      <c r="AA15" s="515"/>
      <c r="AB15" s="515"/>
      <c r="AC15" s="515"/>
      <c r="AD15" s="515"/>
      <c r="AE15" s="515"/>
      <c r="AF15" s="515"/>
      <c r="AG15" s="515"/>
      <c r="AH15" s="515"/>
      <c r="AI15" s="515"/>
      <c r="AJ15" s="515"/>
      <c r="AK15" s="515"/>
      <c r="AL15" s="515"/>
      <c r="AM15" s="515"/>
      <c r="AN15" s="515">
        <v>6660</v>
      </c>
      <c r="AO15" s="528"/>
      <c r="AP15" s="515">
        <f>30780-20520</f>
        <v>10260</v>
      </c>
      <c r="AQ15" s="528"/>
      <c r="AR15" s="528"/>
    </row>
    <row r="16" spans="1:44" s="212" customFormat="1" ht="15" thickBot="1" x14ac:dyDescent="0.25">
      <c r="A16" s="219"/>
      <c r="B16" s="220"/>
      <c r="C16" s="530" t="s">
        <v>31</v>
      </c>
      <c r="D16" s="531">
        <f>SUM(D10:D11)</f>
        <v>1250083</v>
      </c>
      <c r="E16" s="531">
        <f t="shared" ref="E16:AN16" si="6">SUM(E10:E11)</f>
        <v>0</v>
      </c>
      <c r="F16" s="531">
        <f t="shared" si="6"/>
        <v>37310</v>
      </c>
      <c r="G16" s="531">
        <f t="shared" si="6"/>
        <v>15660</v>
      </c>
      <c r="H16" s="531">
        <f t="shared" si="6"/>
        <v>145000</v>
      </c>
      <c r="I16" s="531">
        <f t="shared" ref="I16" si="7">SUM(I10:I11)</f>
        <v>10937</v>
      </c>
      <c r="J16" s="531">
        <f t="shared" si="6"/>
        <v>33821</v>
      </c>
      <c r="K16" s="531">
        <f t="shared" ref="K16:L16" si="8">SUM(K10:K11)</f>
        <v>10460</v>
      </c>
      <c r="L16" s="531">
        <f t="shared" si="8"/>
        <v>20116</v>
      </c>
      <c r="M16" s="531">
        <f t="shared" si="6"/>
        <v>852</v>
      </c>
      <c r="N16" s="531">
        <f t="shared" si="6"/>
        <v>11690</v>
      </c>
      <c r="O16" s="531">
        <f t="shared" ref="O16" si="9">SUM(O10:O11)</f>
        <v>5522</v>
      </c>
      <c r="P16" s="531">
        <f>SUM(P10:P11)</f>
        <v>0</v>
      </c>
      <c r="Q16" s="531">
        <f>SUM(Q10:Q11)</f>
        <v>47817</v>
      </c>
      <c r="R16" s="531">
        <f t="shared" si="6"/>
        <v>46542</v>
      </c>
      <c r="S16" s="531">
        <f>SUM(S10:S11)</f>
        <v>238927</v>
      </c>
      <c r="T16" s="531">
        <f t="shared" si="6"/>
        <v>4300</v>
      </c>
      <c r="U16" s="531">
        <f t="shared" ref="U16:W16" si="10">SUM(U10:U11)</f>
        <v>1500</v>
      </c>
      <c r="V16" s="531">
        <f t="shared" ref="V16" si="11">SUM(V10:V11)</f>
        <v>84769</v>
      </c>
      <c r="W16" s="531">
        <f t="shared" si="10"/>
        <v>0</v>
      </c>
      <c r="X16" s="531">
        <f t="shared" si="6"/>
        <v>4013</v>
      </c>
      <c r="Y16" s="531">
        <f t="shared" ref="Y16" si="12">SUM(Y10:Y11)</f>
        <v>11564</v>
      </c>
      <c r="Z16" s="531">
        <f t="shared" ref="Z16" si="13">SUM(Z10:Z11)</f>
        <v>7040</v>
      </c>
      <c r="AA16" s="531">
        <f t="shared" si="6"/>
        <v>33396</v>
      </c>
      <c r="AB16" s="531">
        <f t="shared" ref="AB16" si="14">SUM(AB10:AB11)</f>
        <v>10909</v>
      </c>
      <c r="AC16" s="531">
        <f t="shared" si="6"/>
        <v>0</v>
      </c>
      <c r="AD16" s="531">
        <f t="shared" si="6"/>
        <v>0</v>
      </c>
      <c r="AE16" s="531">
        <f t="shared" si="6"/>
        <v>10800</v>
      </c>
      <c r="AF16" s="531">
        <f t="shared" si="6"/>
        <v>24400</v>
      </c>
      <c r="AG16" s="531">
        <f t="shared" ref="AG16" si="15">SUM(AG10:AG11)</f>
        <v>34766</v>
      </c>
      <c r="AH16" s="531">
        <f t="shared" si="6"/>
        <v>0</v>
      </c>
      <c r="AI16" s="531">
        <f>SUM(AI10:AI11)</f>
        <v>92260</v>
      </c>
      <c r="AJ16" s="531">
        <f t="shared" si="6"/>
        <v>0</v>
      </c>
      <c r="AK16" s="531">
        <f t="shared" si="6"/>
        <v>0</v>
      </c>
      <c r="AL16" s="531">
        <f t="shared" si="6"/>
        <v>0</v>
      </c>
      <c r="AM16" s="531">
        <f>SUM(AM10:AM11)</f>
        <v>66930</v>
      </c>
      <c r="AN16" s="531">
        <f t="shared" si="6"/>
        <v>6660</v>
      </c>
      <c r="AO16" s="531">
        <f t="shared" ref="AO16:AQ16" si="16">SUM(AO10:AO11)</f>
        <v>30000</v>
      </c>
      <c r="AP16" s="531">
        <f>SUM(AP10:AP11)</f>
        <v>10260</v>
      </c>
      <c r="AQ16" s="531">
        <f t="shared" si="16"/>
        <v>4498</v>
      </c>
      <c r="AR16" s="531">
        <f t="shared" ref="AR16" si="17">SUM(AR10:AR11)</f>
        <v>187364</v>
      </c>
    </row>
    <row r="17" spans="1:44" s="212" customFormat="1" ht="15" thickBot="1" x14ac:dyDescent="0.25">
      <c r="A17" s="223"/>
      <c r="B17" s="224"/>
      <c r="C17" s="560" t="s">
        <v>133</v>
      </c>
      <c r="D17" s="532">
        <f>SUM(D9+D16)</f>
        <v>1863012</v>
      </c>
      <c r="E17" s="532">
        <f t="shared" ref="E17:AN17" si="18">SUM(E9+E16)</f>
        <v>0</v>
      </c>
      <c r="F17" s="532">
        <f t="shared" si="18"/>
        <v>37310</v>
      </c>
      <c r="G17" s="532">
        <f t="shared" si="18"/>
        <v>15660</v>
      </c>
      <c r="H17" s="532">
        <f t="shared" si="18"/>
        <v>145000</v>
      </c>
      <c r="I17" s="532">
        <f t="shared" ref="I17" si="19">SUM(I9+I16)</f>
        <v>52560</v>
      </c>
      <c r="J17" s="532">
        <f t="shared" ref="J17:S17" si="20">SUM(J9+J16)</f>
        <v>33821</v>
      </c>
      <c r="K17" s="532">
        <f t="shared" ref="K17:L17" si="21">SUM(K9+K16)</f>
        <v>10460</v>
      </c>
      <c r="L17" s="532">
        <f t="shared" si="21"/>
        <v>73729</v>
      </c>
      <c r="M17" s="532">
        <f t="shared" si="20"/>
        <v>852</v>
      </c>
      <c r="N17" s="532">
        <f t="shared" si="20"/>
        <v>11690</v>
      </c>
      <c r="O17" s="532">
        <f t="shared" ref="O17" si="22">SUM(O9+O16)</f>
        <v>15916</v>
      </c>
      <c r="P17" s="532">
        <f>SUM(P9+P16)</f>
        <v>3320</v>
      </c>
      <c r="Q17" s="532">
        <f>SUM(Q9+Q16)</f>
        <v>47817</v>
      </c>
      <c r="R17" s="532">
        <f t="shared" si="20"/>
        <v>64192</v>
      </c>
      <c r="S17" s="532">
        <f t="shared" si="20"/>
        <v>369955</v>
      </c>
      <c r="T17" s="532">
        <f t="shared" si="18"/>
        <v>4300</v>
      </c>
      <c r="U17" s="532">
        <f t="shared" ref="U17:W17" si="23">SUM(U9+U16)</f>
        <v>7196</v>
      </c>
      <c r="V17" s="532">
        <f t="shared" ref="V17" si="24">SUM(V9+V16)</f>
        <v>84769</v>
      </c>
      <c r="W17" s="532">
        <f t="shared" si="23"/>
        <v>907</v>
      </c>
      <c r="X17" s="532">
        <f t="shared" si="18"/>
        <v>4013</v>
      </c>
      <c r="Y17" s="532">
        <f t="shared" ref="Y17" si="25">SUM(Y9+Y16)</f>
        <v>18215</v>
      </c>
      <c r="Z17" s="532">
        <f t="shared" ref="Z17" si="26">SUM(Z9+Z16)</f>
        <v>20160</v>
      </c>
      <c r="AA17" s="532">
        <f t="shared" si="18"/>
        <v>43350</v>
      </c>
      <c r="AB17" s="532">
        <f t="shared" ref="AB17" si="27">SUM(AB9+AB16)</f>
        <v>54447</v>
      </c>
      <c r="AC17" s="532">
        <f t="shared" si="18"/>
        <v>1484</v>
      </c>
      <c r="AD17" s="532">
        <f t="shared" si="18"/>
        <v>7031</v>
      </c>
      <c r="AE17" s="532">
        <f t="shared" si="18"/>
        <v>10800</v>
      </c>
      <c r="AF17" s="532">
        <f t="shared" si="18"/>
        <v>24400</v>
      </c>
      <c r="AG17" s="532">
        <f t="shared" ref="AG17" si="28">SUM(AG9+AG16)</f>
        <v>34766</v>
      </c>
      <c r="AH17" s="532">
        <f>SUM(AH9+AH16)</f>
        <v>4557</v>
      </c>
      <c r="AI17" s="532">
        <f>SUM(AI9+AI16)</f>
        <v>125290</v>
      </c>
      <c r="AJ17" s="532">
        <f t="shared" si="18"/>
        <v>7658</v>
      </c>
      <c r="AK17" s="532">
        <f t="shared" si="18"/>
        <v>4607</v>
      </c>
      <c r="AL17" s="532">
        <f t="shared" si="18"/>
        <v>2041</v>
      </c>
      <c r="AM17" s="532">
        <f>SUM(AM9+AM16)</f>
        <v>83319</v>
      </c>
      <c r="AN17" s="532">
        <f t="shared" si="18"/>
        <v>15830</v>
      </c>
      <c r="AO17" s="532">
        <f t="shared" ref="AO17:AQ17" si="29">SUM(AO9+AO16)</f>
        <v>30000</v>
      </c>
      <c r="AP17" s="532">
        <f>SUM(AP9+AP16)</f>
        <v>32864</v>
      </c>
      <c r="AQ17" s="532">
        <f t="shared" si="29"/>
        <v>22490</v>
      </c>
      <c r="AR17" s="532">
        <f t="shared" ref="AR17" si="30">SUM(AR9+AR16)</f>
        <v>336236</v>
      </c>
    </row>
    <row r="18" spans="1:44" s="212" customFormat="1" ht="15" customHeight="1" x14ac:dyDescent="0.2">
      <c r="A18" s="533"/>
      <c r="C18" s="561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5"/>
      <c r="Q18" s="535"/>
      <c r="R18" s="534"/>
      <c r="S18" s="535"/>
      <c r="T18" s="534"/>
      <c r="U18" s="534"/>
      <c r="V18" s="534"/>
      <c r="W18" s="535"/>
      <c r="X18" s="534"/>
      <c r="Y18" s="535"/>
      <c r="Z18" s="535"/>
      <c r="AA18" s="535"/>
      <c r="AB18" s="535"/>
      <c r="AC18" s="535"/>
      <c r="AD18" s="535"/>
      <c r="AE18" s="534"/>
      <c r="AF18" s="534"/>
      <c r="AG18" s="534"/>
      <c r="AH18" s="535"/>
      <c r="AI18" s="535"/>
      <c r="AJ18" s="535"/>
      <c r="AK18" s="535"/>
      <c r="AL18" s="535"/>
      <c r="AM18" s="535"/>
      <c r="AN18" s="535"/>
      <c r="AO18" s="534"/>
      <c r="AP18" s="535"/>
      <c r="AQ18" s="534"/>
      <c r="AR18" s="534"/>
    </row>
    <row r="19" spans="1:44" ht="13.5" thickBot="1" x14ac:dyDescent="0.25"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536"/>
      <c r="AC19" s="536"/>
      <c r="AD19" s="536"/>
      <c r="AE19" s="536"/>
      <c r="AF19" s="536"/>
      <c r="AG19" s="536"/>
      <c r="AH19" s="536"/>
      <c r="AI19" s="536"/>
      <c r="AJ19" s="536"/>
      <c r="AK19" s="536"/>
      <c r="AL19" s="536"/>
      <c r="AM19" s="536"/>
      <c r="AN19" s="536"/>
      <c r="AO19" s="536"/>
      <c r="AP19" s="536"/>
      <c r="AQ19" s="536"/>
      <c r="AR19" s="536"/>
    </row>
    <row r="20" spans="1:44" ht="23.25" customHeight="1" thickBot="1" x14ac:dyDescent="0.3">
      <c r="A20" s="509" t="s">
        <v>7</v>
      </c>
      <c r="B20" s="510" t="s">
        <v>7</v>
      </c>
      <c r="C20" s="899" t="s">
        <v>10</v>
      </c>
      <c r="D20" s="274" t="s">
        <v>28</v>
      </c>
      <c r="E20" s="537" t="s">
        <v>152</v>
      </c>
      <c r="F20" s="537" t="s">
        <v>152</v>
      </c>
      <c r="G20" s="537" t="s">
        <v>152</v>
      </c>
      <c r="H20" s="537" t="s">
        <v>152</v>
      </c>
      <c r="I20" s="537" t="s">
        <v>152</v>
      </c>
      <c r="J20" s="537" t="s">
        <v>152</v>
      </c>
      <c r="K20" s="537" t="s">
        <v>152</v>
      </c>
      <c r="L20" s="537" t="s">
        <v>152</v>
      </c>
      <c r="M20" s="537" t="s">
        <v>152</v>
      </c>
      <c r="N20" s="537" t="s">
        <v>152</v>
      </c>
      <c r="O20" s="537" t="s">
        <v>152</v>
      </c>
      <c r="P20" s="537" t="s">
        <v>152</v>
      </c>
      <c r="Q20" s="537" t="s">
        <v>152</v>
      </c>
      <c r="R20" s="537" t="s">
        <v>152</v>
      </c>
      <c r="S20" s="537" t="s">
        <v>152</v>
      </c>
      <c r="T20" s="537" t="s">
        <v>152</v>
      </c>
      <c r="U20" s="537" t="s">
        <v>152</v>
      </c>
      <c r="V20" s="537" t="s">
        <v>152</v>
      </c>
      <c r="W20" s="537" t="s">
        <v>152</v>
      </c>
      <c r="X20" s="537" t="s">
        <v>152</v>
      </c>
      <c r="Y20" s="537" t="s">
        <v>152</v>
      </c>
      <c r="Z20" s="537" t="s">
        <v>152</v>
      </c>
      <c r="AA20" s="537" t="s">
        <v>152</v>
      </c>
      <c r="AB20" s="537" t="s">
        <v>152</v>
      </c>
      <c r="AC20" s="537" t="s">
        <v>152</v>
      </c>
      <c r="AD20" s="537" t="s">
        <v>152</v>
      </c>
      <c r="AE20" s="537" t="s">
        <v>152</v>
      </c>
      <c r="AF20" s="537" t="s">
        <v>152</v>
      </c>
      <c r="AG20" s="537" t="s">
        <v>152</v>
      </c>
      <c r="AH20" s="537" t="s">
        <v>152</v>
      </c>
      <c r="AI20" s="537" t="s">
        <v>152</v>
      </c>
      <c r="AJ20" s="537" t="s">
        <v>152</v>
      </c>
      <c r="AK20" s="537" t="s">
        <v>152</v>
      </c>
      <c r="AL20" s="537" t="s">
        <v>152</v>
      </c>
      <c r="AM20" s="537" t="s">
        <v>152</v>
      </c>
      <c r="AN20" s="537" t="s">
        <v>152</v>
      </c>
      <c r="AO20" s="537" t="s">
        <v>152</v>
      </c>
      <c r="AP20" s="537" t="s">
        <v>152</v>
      </c>
      <c r="AQ20" s="537" t="s">
        <v>152</v>
      </c>
      <c r="AR20" s="537" t="s">
        <v>152</v>
      </c>
    </row>
    <row r="21" spans="1:44" s="502" customFormat="1" x14ac:dyDescent="0.2">
      <c r="A21" s="538">
        <v>1100</v>
      </c>
      <c r="B21" s="539"/>
      <c r="C21" s="562" t="s">
        <v>11</v>
      </c>
      <c r="D21" s="514">
        <f>SUM(E21:AR21)</f>
        <v>386500</v>
      </c>
      <c r="E21" s="515"/>
      <c r="F21" s="515"/>
      <c r="G21" s="515"/>
      <c r="H21" s="515">
        <v>2147</v>
      </c>
      <c r="I21" s="515"/>
      <c r="J21" s="515"/>
      <c r="K21" s="515"/>
      <c r="L21" s="515">
        <f>750-250</f>
        <v>500</v>
      </c>
      <c r="M21" s="515"/>
      <c r="N21" s="515"/>
      <c r="O21" s="515"/>
      <c r="P21" s="515"/>
      <c r="Q21" s="515"/>
      <c r="R21" s="515"/>
      <c r="S21" s="515">
        <f>78528+68028</f>
        <v>146556</v>
      </c>
      <c r="T21" s="515"/>
      <c r="U21" s="515"/>
      <c r="V21" s="515">
        <v>750</v>
      </c>
      <c r="W21" s="515"/>
      <c r="X21" s="515">
        <v>2300</v>
      </c>
      <c r="Y21" s="515">
        <v>7000</v>
      </c>
      <c r="Z21" s="515"/>
      <c r="AA21" s="515">
        <f>1000+992</f>
        <v>1992</v>
      </c>
      <c r="AB21" s="515"/>
      <c r="AC21" s="515"/>
      <c r="AD21" s="515"/>
      <c r="AE21" s="515"/>
      <c r="AF21" s="515"/>
      <c r="AG21" s="515"/>
      <c r="AH21" s="515"/>
      <c r="AI21" s="515">
        <f>69747+27114+4484</f>
        <v>101345</v>
      </c>
      <c r="AJ21" s="515">
        <f>3850-300</f>
        <v>3550</v>
      </c>
      <c r="AK21" s="515"/>
      <c r="AL21" s="515"/>
      <c r="AM21" s="515">
        <v>61606</v>
      </c>
      <c r="AN21" s="515">
        <v>3020</v>
      </c>
      <c r="AO21" s="515">
        <f>3000+5040</f>
        <v>8040</v>
      </c>
      <c r="AP21" s="515">
        <v>8000</v>
      </c>
      <c r="AQ21" s="515">
        <v>2000</v>
      </c>
      <c r="AR21" s="515">
        <v>37694</v>
      </c>
    </row>
    <row r="22" spans="1:44" s="502" customFormat="1" ht="14.25" customHeight="1" x14ac:dyDescent="0.2">
      <c r="A22" s="540">
        <v>1200</v>
      </c>
      <c r="B22" s="517"/>
      <c r="C22" s="563" t="s">
        <v>12</v>
      </c>
      <c r="D22" s="518">
        <f>SUM(E22:AR22)</f>
        <v>90975</v>
      </c>
      <c r="E22" s="520"/>
      <c r="F22" s="520"/>
      <c r="G22" s="520"/>
      <c r="H22" s="520">
        <v>506</v>
      </c>
      <c r="I22" s="520"/>
      <c r="J22" s="520"/>
      <c r="K22" s="520"/>
      <c r="L22" s="520">
        <f>177-59</f>
        <v>118</v>
      </c>
      <c r="M22" s="520"/>
      <c r="N22" s="520"/>
      <c r="O22" s="520"/>
      <c r="P22" s="520"/>
      <c r="Q22" s="520"/>
      <c r="R22" s="520"/>
      <c r="S22" s="520">
        <f>18525+16048</f>
        <v>34573</v>
      </c>
      <c r="T22" s="520"/>
      <c r="U22" s="520"/>
      <c r="V22" s="520"/>
      <c r="W22" s="520"/>
      <c r="X22" s="520"/>
      <c r="Y22" s="520">
        <v>1651</v>
      </c>
      <c r="Z22" s="520"/>
      <c r="AA22" s="520">
        <f>236+93</f>
        <v>329</v>
      </c>
      <c r="AB22" s="520"/>
      <c r="AC22" s="520"/>
      <c r="AD22" s="520"/>
      <c r="AE22" s="520"/>
      <c r="AF22" s="520"/>
      <c r="AG22" s="520"/>
      <c r="AH22" s="520"/>
      <c r="AI22" s="520">
        <f>16453+6434+1058</f>
        <v>23945</v>
      </c>
      <c r="AJ22" s="520">
        <f>1500-1000</f>
        <v>500</v>
      </c>
      <c r="AK22" s="520"/>
      <c r="AL22" s="520"/>
      <c r="AM22" s="520">
        <v>16513</v>
      </c>
      <c r="AN22" s="520">
        <v>712</v>
      </c>
      <c r="AO22" s="520">
        <f>708+170</f>
        <v>878</v>
      </c>
      <c r="AP22" s="520">
        <v>1887</v>
      </c>
      <c r="AQ22" s="520">
        <v>471</v>
      </c>
      <c r="AR22" s="520">
        <v>8892</v>
      </c>
    </row>
    <row r="23" spans="1:44" s="502" customFormat="1" x14ac:dyDescent="0.2">
      <c r="A23" s="540">
        <v>2000</v>
      </c>
      <c r="B23" s="517"/>
      <c r="C23" s="557" t="s">
        <v>13</v>
      </c>
      <c r="D23" s="518">
        <f>SUM(D24+D25+D26+D27+D28)</f>
        <v>1166656</v>
      </c>
      <c r="E23" s="520">
        <f>SUM(E24+E25+E26+E27+E28)</f>
        <v>0</v>
      </c>
      <c r="F23" s="520">
        <f t="shared" ref="F23:AN23" si="31">SUM(F24+F25+F26+F27+F28)</f>
        <v>14320</v>
      </c>
      <c r="G23" s="520">
        <f t="shared" si="31"/>
        <v>15660</v>
      </c>
      <c r="H23" s="520">
        <f t="shared" si="31"/>
        <v>142347</v>
      </c>
      <c r="I23" s="520">
        <f t="shared" si="31"/>
        <v>52560</v>
      </c>
      <c r="J23" s="520">
        <f t="shared" si="31"/>
        <v>33821</v>
      </c>
      <c r="K23" s="520">
        <f t="shared" si="31"/>
        <v>10460</v>
      </c>
      <c r="L23" s="520">
        <f t="shared" si="31"/>
        <v>73111</v>
      </c>
      <c r="M23" s="520">
        <f t="shared" si="31"/>
        <v>852</v>
      </c>
      <c r="N23" s="520">
        <f t="shared" si="31"/>
        <v>1740</v>
      </c>
      <c r="O23" s="520">
        <f t="shared" ref="O23" si="32">SUM(O24+O25+O26+O27+O28)</f>
        <v>15916</v>
      </c>
      <c r="P23" s="520">
        <f>SUM(P24+P25+P26+P27+P28)</f>
        <v>3320</v>
      </c>
      <c r="Q23" s="520">
        <f>SUM(Q24+Q25+Q26+Q27+Q28)</f>
        <v>47817</v>
      </c>
      <c r="R23" s="520">
        <f t="shared" si="31"/>
        <v>64192</v>
      </c>
      <c r="S23" s="520">
        <f>SUM(S24+S25+S26+S27+S28)</f>
        <v>40285</v>
      </c>
      <c r="T23" s="520">
        <f t="shared" si="31"/>
        <v>4300</v>
      </c>
      <c r="U23" s="520">
        <f t="shared" ref="U23:W23" si="33">SUM(U24+U25+U26+U27+U28)</f>
        <v>7196</v>
      </c>
      <c r="V23" s="520">
        <f t="shared" si="33"/>
        <v>84019</v>
      </c>
      <c r="W23" s="520">
        <f t="shared" si="33"/>
        <v>907</v>
      </c>
      <c r="X23" s="520">
        <f t="shared" si="31"/>
        <v>1713</v>
      </c>
      <c r="Y23" s="520">
        <f t="shared" ref="Y23" si="34">SUM(Y24+Y25+Y26+Y27+Y28)</f>
        <v>9564</v>
      </c>
      <c r="Z23" s="520">
        <f t="shared" ref="Z23" si="35">SUM(Z24+Z25+Z26+Z27+Z28)</f>
        <v>20160</v>
      </c>
      <c r="AA23" s="520">
        <f t="shared" si="31"/>
        <v>38829</v>
      </c>
      <c r="AB23" s="520">
        <f t="shared" ref="AB23" si="36">SUM(AB24+AB25+AB26+AB27+AB28)</f>
        <v>54447</v>
      </c>
      <c r="AC23" s="520">
        <f t="shared" si="31"/>
        <v>1484</v>
      </c>
      <c r="AD23" s="520">
        <f t="shared" si="31"/>
        <v>7031</v>
      </c>
      <c r="AE23" s="520">
        <f t="shared" si="31"/>
        <v>0</v>
      </c>
      <c r="AF23" s="520">
        <f t="shared" si="31"/>
        <v>0</v>
      </c>
      <c r="AG23" s="520">
        <f t="shared" ref="AG23" si="37">SUM(AG24+AG25+AG26+AG27+AG28)</f>
        <v>34766</v>
      </c>
      <c r="AH23" s="520">
        <f t="shared" si="31"/>
        <v>4557</v>
      </c>
      <c r="AI23" s="520">
        <f>SUM(AI24+AI25+AI26+AI27+AI28)</f>
        <v>0</v>
      </c>
      <c r="AJ23" s="520">
        <f t="shared" si="31"/>
        <v>3608</v>
      </c>
      <c r="AK23" s="520">
        <f t="shared" si="31"/>
        <v>4607</v>
      </c>
      <c r="AL23" s="520">
        <f t="shared" si="31"/>
        <v>2041</v>
      </c>
      <c r="AM23" s="520">
        <f>SUM(AM24+AM25+AM26+AM27+AM28)</f>
        <v>5200</v>
      </c>
      <c r="AN23" s="520">
        <f t="shared" si="31"/>
        <v>12098</v>
      </c>
      <c r="AO23" s="520">
        <f>SUM(AO24+AO25+AO26+AO27+AO28)</f>
        <v>21082</v>
      </c>
      <c r="AP23" s="520">
        <f>SUM(AP24+AP25+AP26+AP27+AP28)</f>
        <v>22977</v>
      </c>
      <c r="AQ23" s="520">
        <f>SUM(AQ24+AQ25+AQ26+AQ27+AQ28)</f>
        <v>20019</v>
      </c>
      <c r="AR23" s="520">
        <f>SUM(AR24+AR25+AR26+AR27+AR28)</f>
        <v>289650</v>
      </c>
    </row>
    <row r="24" spans="1:44" s="502" customFormat="1" x14ac:dyDescent="0.2">
      <c r="A24" s="540">
        <v>2100</v>
      </c>
      <c r="B24" s="517"/>
      <c r="C24" s="557" t="s">
        <v>14</v>
      </c>
      <c r="D24" s="518">
        <f>SUM(E24:AR24)</f>
        <v>403810</v>
      </c>
      <c r="E24" s="520"/>
      <c r="F24" s="520">
        <v>13920</v>
      </c>
      <c r="G24" s="520">
        <v>15260</v>
      </c>
      <c r="H24" s="520"/>
      <c r="I24" s="520">
        <f>52418+142-3195-388-540</f>
        <v>48437</v>
      </c>
      <c r="J24" s="520"/>
      <c r="K24" s="520">
        <f>5512+1887</f>
        <v>7399</v>
      </c>
      <c r="L24" s="520">
        <f>59117-1254</f>
        <v>57863</v>
      </c>
      <c r="M24" s="520">
        <f>852-852</f>
        <v>0</v>
      </c>
      <c r="N24" s="520"/>
      <c r="O24" s="520">
        <f>16927-1011-215</f>
        <v>15701</v>
      </c>
      <c r="P24" s="520">
        <f>3000-802</f>
        <v>2198</v>
      </c>
      <c r="Q24" s="520">
        <v>45000</v>
      </c>
      <c r="R24" s="520"/>
      <c r="S24" s="520"/>
      <c r="T24" s="520"/>
      <c r="U24" s="520"/>
      <c r="V24" s="520">
        <v>74500</v>
      </c>
      <c r="W24" s="520"/>
      <c r="X24" s="520"/>
      <c r="Y24" s="520">
        <v>2820</v>
      </c>
      <c r="Z24" s="520">
        <f>10160+3807</f>
        <v>13967</v>
      </c>
      <c r="AA24" s="520"/>
      <c r="AB24" s="520">
        <f>39636-98</f>
        <v>39538</v>
      </c>
      <c r="AC24" s="520">
        <f>1484-200-133</f>
        <v>1151</v>
      </c>
      <c r="AD24" s="520">
        <f>7031</f>
        <v>7031</v>
      </c>
      <c r="AE24" s="520"/>
      <c r="AF24" s="520"/>
      <c r="AG24" s="520">
        <v>27766</v>
      </c>
      <c r="AH24" s="520">
        <v>2000</v>
      </c>
      <c r="AI24" s="520"/>
      <c r="AJ24" s="520">
        <f>7658-5350+240</f>
        <v>2548</v>
      </c>
      <c r="AK24" s="520">
        <v>2000</v>
      </c>
      <c r="AL24" s="520">
        <v>2041</v>
      </c>
      <c r="AM24" s="520"/>
      <c r="AN24" s="520"/>
      <c r="AO24" s="520"/>
      <c r="AP24" s="520">
        <f>21977+693</f>
        <v>22670</v>
      </c>
      <c r="AQ24" s="520"/>
      <c r="AR24" s="520"/>
    </row>
    <row r="25" spans="1:44" x14ac:dyDescent="0.2">
      <c r="A25" s="540">
        <v>2200</v>
      </c>
      <c r="B25" s="517"/>
      <c r="C25" s="557" t="s">
        <v>15</v>
      </c>
      <c r="D25" s="518">
        <f>SUM(E25:AR25)</f>
        <v>688439</v>
      </c>
      <c r="E25" s="520"/>
      <c r="F25" s="520"/>
      <c r="G25" s="520"/>
      <c r="H25" s="520">
        <v>142347</v>
      </c>
      <c r="I25" s="520">
        <f>2195+388+540</f>
        <v>3123</v>
      </c>
      <c r="J25" s="520">
        <v>33821</v>
      </c>
      <c r="K25" s="520">
        <f>2894+1982-2649</f>
        <v>2227</v>
      </c>
      <c r="L25" s="520">
        <f>11654-7934</f>
        <v>3720</v>
      </c>
      <c r="M25" s="520">
        <v>852</v>
      </c>
      <c r="N25" s="520"/>
      <c r="O25" s="520"/>
      <c r="P25" s="520">
        <f>320-90</f>
        <v>230</v>
      </c>
      <c r="Q25" s="520">
        <v>817</v>
      </c>
      <c r="R25" s="520">
        <v>60192</v>
      </c>
      <c r="S25" s="520">
        <f>28000+10000</f>
        <v>38000</v>
      </c>
      <c r="T25" s="520">
        <f>2500-1102</f>
        <v>1398</v>
      </c>
      <c r="U25" s="520">
        <v>2867</v>
      </c>
      <c r="V25" s="520">
        <v>7000</v>
      </c>
      <c r="W25" s="520">
        <v>395</v>
      </c>
      <c r="X25" s="520">
        <v>1573</v>
      </c>
      <c r="Y25" s="520">
        <v>5082</v>
      </c>
      <c r="Z25" s="520">
        <f>10000-3807-583</f>
        <v>5610</v>
      </c>
      <c r="AA25" s="520">
        <f>14860+15828+5000-694+331</f>
        <v>35325</v>
      </c>
      <c r="AB25" s="520">
        <v>10909</v>
      </c>
      <c r="AC25" s="520">
        <v>200</v>
      </c>
      <c r="AD25" s="520"/>
      <c r="AE25" s="519"/>
      <c r="AF25" s="519"/>
      <c r="AG25" s="519">
        <v>3500</v>
      </c>
      <c r="AH25" s="519">
        <f>2557-1100</f>
        <v>1457</v>
      </c>
      <c r="AI25" s="520"/>
      <c r="AJ25" s="520">
        <v>260</v>
      </c>
      <c r="AK25" s="520">
        <v>2607</v>
      </c>
      <c r="AL25" s="520"/>
      <c r="AM25" s="520">
        <v>200</v>
      </c>
      <c r="AN25" s="520">
        <v>4585</v>
      </c>
      <c r="AO25" s="520">
        <f>26292-7200-8321</f>
        <v>10771</v>
      </c>
      <c r="AP25" s="520">
        <f>400-293</f>
        <v>107</v>
      </c>
      <c r="AQ25" s="520">
        <f>20019-405</f>
        <v>19614</v>
      </c>
      <c r="AR25" s="520">
        <f>282711+15000-8061</f>
        <v>289650</v>
      </c>
    </row>
    <row r="26" spans="1:44" s="502" customFormat="1" x14ac:dyDescent="0.2">
      <c r="A26" s="540">
        <v>2300</v>
      </c>
      <c r="B26" s="517"/>
      <c r="C26" s="557" t="s">
        <v>16</v>
      </c>
      <c r="D26" s="518">
        <f>SUM(E26:AR26)</f>
        <v>74407</v>
      </c>
      <c r="E26" s="520"/>
      <c r="F26" s="520">
        <v>400</v>
      </c>
      <c r="G26" s="520">
        <v>400</v>
      </c>
      <c r="H26" s="520"/>
      <c r="I26" s="520">
        <v>1000</v>
      </c>
      <c r="J26" s="520"/>
      <c r="K26" s="520">
        <f>72+762</f>
        <v>834</v>
      </c>
      <c r="L26" s="520">
        <f>2031+9497</f>
        <v>11528</v>
      </c>
      <c r="M26" s="520"/>
      <c r="N26" s="520">
        <v>1740</v>
      </c>
      <c r="O26" s="520">
        <v>215</v>
      </c>
      <c r="P26" s="520">
        <f>802+90</f>
        <v>892</v>
      </c>
      <c r="Q26" s="520">
        <v>2000</v>
      </c>
      <c r="R26" s="520">
        <v>4000</v>
      </c>
      <c r="S26" s="520">
        <v>2285</v>
      </c>
      <c r="T26" s="520">
        <f>2500+402</f>
        <v>2902</v>
      </c>
      <c r="U26" s="520">
        <v>4329</v>
      </c>
      <c r="V26" s="520">
        <v>2519</v>
      </c>
      <c r="W26" s="520">
        <v>512</v>
      </c>
      <c r="X26" s="520">
        <v>140</v>
      </c>
      <c r="Y26" s="520">
        <f>1692-30</f>
        <v>1662</v>
      </c>
      <c r="Z26" s="520">
        <v>583</v>
      </c>
      <c r="AA26" s="520">
        <f>80+750+90+1000+1000+2000-1416</f>
        <v>3504</v>
      </c>
      <c r="AB26" s="520">
        <v>4000</v>
      </c>
      <c r="AC26" s="520">
        <v>133</v>
      </c>
      <c r="AD26" s="520"/>
      <c r="AE26" s="520"/>
      <c r="AF26" s="520"/>
      <c r="AG26" s="520">
        <v>3500</v>
      </c>
      <c r="AH26" s="520">
        <v>1100</v>
      </c>
      <c r="AI26" s="520"/>
      <c r="AJ26" s="520">
        <v>800</v>
      </c>
      <c r="AK26" s="520"/>
      <c r="AL26" s="520"/>
      <c r="AM26" s="520">
        <v>5000</v>
      </c>
      <c r="AN26" s="520">
        <v>7513</v>
      </c>
      <c r="AO26" s="520">
        <f>7200+3111</f>
        <v>10311</v>
      </c>
      <c r="AP26" s="520">
        <f>600-400</f>
        <v>200</v>
      </c>
      <c r="AQ26" s="520">
        <v>405</v>
      </c>
      <c r="AR26" s="520"/>
    </row>
    <row r="27" spans="1:44" s="502" customFormat="1" x14ac:dyDescent="0.2">
      <c r="A27" s="540">
        <v>2400</v>
      </c>
      <c r="B27" s="517"/>
      <c r="C27" s="557" t="s">
        <v>134</v>
      </c>
      <c r="D27" s="518">
        <f>SUM(H27:AR27)</f>
        <v>0</v>
      </c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  <c r="AF27" s="520"/>
      <c r="AG27" s="520"/>
      <c r="AH27" s="520"/>
      <c r="AI27" s="520"/>
      <c r="AJ27" s="520"/>
      <c r="AK27" s="520"/>
      <c r="AL27" s="520"/>
      <c r="AM27" s="520"/>
      <c r="AN27" s="520"/>
      <c r="AO27" s="520"/>
      <c r="AP27" s="520"/>
      <c r="AQ27" s="520"/>
      <c r="AR27" s="520"/>
    </row>
    <row r="28" spans="1:44" s="502" customFormat="1" ht="12.75" customHeight="1" x14ac:dyDescent="0.2">
      <c r="A28" s="540">
        <v>2500</v>
      </c>
      <c r="B28" s="517"/>
      <c r="C28" s="296" t="s">
        <v>172</v>
      </c>
      <c r="D28" s="518">
        <f>SUM(H28:AR28)</f>
        <v>0</v>
      </c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  <c r="AB28" s="520"/>
      <c r="AC28" s="520"/>
      <c r="AD28" s="520"/>
      <c r="AE28" s="520"/>
      <c r="AF28" s="520"/>
      <c r="AG28" s="520"/>
      <c r="AH28" s="520"/>
      <c r="AI28" s="520"/>
      <c r="AJ28" s="520"/>
      <c r="AK28" s="520"/>
      <c r="AL28" s="520"/>
      <c r="AM28" s="520"/>
      <c r="AN28" s="520"/>
      <c r="AO28" s="520"/>
      <c r="AP28" s="520"/>
      <c r="AQ28" s="520"/>
      <c r="AR28" s="520"/>
    </row>
    <row r="29" spans="1:44" s="502" customFormat="1" x14ac:dyDescent="0.2">
      <c r="A29" s="540">
        <v>3200</v>
      </c>
      <c r="B29" s="517"/>
      <c r="C29" s="557" t="s">
        <v>135</v>
      </c>
      <c r="D29" s="518">
        <f>SUM(E29:AR29)</f>
        <v>0</v>
      </c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  <c r="R29" s="520"/>
      <c r="S29" s="520"/>
      <c r="T29" s="520"/>
      <c r="U29" s="520"/>
      <c r="V29" s="520"/>
      <c r="W29" s="520"/>
      <c r="X29" s="520"/>
      <c r="Y29" s="520"/>
      <c r="Z29" s="520"/>
      <c r="AA29" s="520"/>
      <c r="AB29" s="520"/>
      <c r="AC29" s="520"/>
      <c r="AD29" s="520"/>
      <c r="AE29" s="520"/>
      <c r="AF29" s="520"/>
      <c r="AG29" s="520"/>
      <c r="AH29" s="520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</row>
    <row r="30" spans="1:44" s="502" customFormat="1" x14ac:dyDescent="0.2">
      <c r="A30" s="540">
        <v>4310</v>
      </c>
      <c r="B30" s="517"/>
      <c r="C30" s="557" t="s">
        <v>21</v>
      </c>
      <c r="D30" s="518">
        <f>SUM(H30:AR30)</f>
        <v>0</v>
      </c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520"/>
      <c r="S30" s="520"/>
      <c r="T30" s="520"/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20"/>
      <c r="AF30" s="520"/>
      <c r="AG30" s="520"/>
      <c r="AH30" s="520"/>
      <c r="AI30" s="520"/>
      <c r="AJ30" s="520"/>
      <c r="AK30" s="520"/>
      <c r="AL30" s="520"/>
      <c r="AM30" s="520"/>
      <c r="AN30" s="520"/>
      <c r="AO30" s="520"/>
      <c r="AP30" s="520"/>
      <c r="AQ30" s="520"/>
      <c r="AR30" s="520"/>
    </row>
    <row r="31" spans="1:44" s="502" customFormat="1" x14ac:dyDescent="0.2">
      <c r="A31" s="540">
        <v>5100</v>
      </c>
      <c r="B31" s="517"/>
      <c r="C31" s="557" t="s">
        <v>22</v>
      </c>
      <c r="D31" s="518">
        <f>SUM(H31:AR31)</f>
        <v>0</v>
      </c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520"/>
      <c r="AN31" s="520"/>
      <c r="AO31" s="520"/>
      <c r="AP31" s="520"/>
      <c r="AQ31" s="520"/>
      <c r="AR31" s="520"/>
    </row>
    <row r="32" spans="1:44" s="502" customFormat="1" x14ac:dyDescent="0.2">
      <c r="A32" s="540">
        <v>5200</v>
      </c>
      <c r="B32" s="517"/>
      <c r="C32" s="557" t="s">
        <v>23</v>
      </c>
      <c r="D32" s="518">
        <f>SUM(E32:AR32)</f>
        <v>150741</v>
      </c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0"/>
      <c r="S32" s="520">
        <f>138541+10000</f>
        <v>148541</v>
      </c>
      <c r="T32" s="520"/>
      <c r="U32" s="520"/>
      <c r="V32" s="520"/>
      <c r="W32" s="520"/>
      <c r="X32" s="520"/>
      <c r="Y32" s="520"/>
      <c r="Z32" s="520"/>
      <c r="AA32" s="520">
        <v>2200</v>
      </c>
      <c r="AB32" s="520"/>
      <c r="AC32" s="520"/>
      <c r="AD32" s="520"/>
      <c r="AE32" s="520"/>
      <c r="AF32" s="520"/>
      <c r="AG32" s="520"/>
      <c r="AH32" s="520"/>
      <c r="AI32" s="520"/>
      <c r="AJ32" s="520"/>
      <c r="AK32" s="520"/>
      <c r="AL32" s="520"/>
      <c r="AM32" s="520"/>
      <c r="AN32" s="520"/>
      <c r="AO32" s="520"/>
      <c r="AP32" s="520"/>
      <c r="AQ32" s="520"/>
      <c r="AR32" s="520"/>
    </row>
    <row r="33" spans="1:44" s="502" customFormat="1" x14ac:dyDescent="0.2">
      <c r="A33" s="540">
        <v>6400</v>
      </c>
      <c r="B33" s="517"/>
      <c r="C33" s="557" t="s">
        <v>622</v>
      </c>
      <c r="D33" s="518">
        <f>SUM(E33:AR33)</f>
        <v>35200</v>
      </c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0"/>
      <c r="S33" s="520"/>
      <c r="T33" s="520"/>
      <c r="U33" s="520"/>
      <c r="V33" s="520"/>
      <c r="W33" s="520"/>
      <c r="X33" s="520"/>
      <c r="Y33" s="520"/>
      <c r="Z33" s="520"/>
      <c r="AA33" s="520"/>
      <c r="AB33" s="520"/>
      <c r="AC33" s="520"/>
      <c r="AD33" s="520"/>
      <c r="AE33" s="520">
        <v>10800</v>
      </c>
      <c r="AF33" s="520">
        <v>24400</v>
      </c>
      <c r="AG33" s="520"/>
      <c r="AH33" s="520"/>
      <c r="AI33" s="520"/>
      <c r="AJ33" s="520"/>
      <c r="AK33" s="520"/>
      <c r="AL33" s="520"/>
      <c r="AM33" s="520"/>
      <c r="AN33" s="520"/>
      <c r="AO33" s="520"/>
      <c r="AP33" s="520"/>
      <c r="AQ33" s="520"/>
      <c r="AR33" s="520"/>
    </row>
    <row r="34" spans="1:44" s="502" customFormat="1" ht="13.5" thickBot="1" x14ac:dyDescent="0.25">
      <c r="A34" s="541">
        <v>7700</v>
      </c>
      <c r="B34" s="542">
        <v>7720</v>
      </c>
      <c r="C34" s="564" t="s">
        <v>623</v>
      </c>
      <c r="D34" s="543">
        <f>SUM(F34:AQ34)</f>
        <v>32940</v>
      </c>
      <c r="E34" s="544"/>
      <c r="F34" s="544">
        <v>22990</v>
      </c>
      <c r="G34" s="544"/>
      <c r="H34" s="544"/>
      <c r="I34" s="544"/>
      <c r="J34" s="544"/>
      <c r="K34" s="544"/>
      <c r="L34" s="544"/>
      <c r="M34" s="544"/>
      <c r="N34" s="544">
        <f>12470-2520</f>
        <v>9950</v>
      </c>
      <c r="O34" s="568"/>
      <c r="P34" s="568"/>
      <c r="Q34" s="568"/>
      <c r="R34" s="568"/>
      <c r="S34" s="544"/>
      <c r="T34" s="568"/>
      <c r="U34" s="568"/>
      <c r="V34" s="568"/>
      <c r="W34" s="568"/>
      <c r="X34" s="568"/>
      <c r="Y34" s="568"/>
      <c r="Z34" s="568"/>
      <c r="AA34" s="568"/>
      <c r="AB34" s="544"/>
      <c r="AC34" s="544"/>
      <c r="AD34" s="544"/>
      <c r="AE34" s="544"/>
      <c r="AF34" s="544"/>
      <c r="AG34" s="544"/>
      <c r="AH34" s="544"/>
      <c r="AI34" s="544"/>
      <c r="AJ34" s="544"/>
      <c r="AK34" s="544"/>
      <c r="AL34" s="544"/>
      <c r="AM34" s="544"/>
      <c r="AN34" s="544"/>
      <c r="AO34" s="544"/>
      <c r="AP34" s="544"/>
      <c r="AQ34" s="544"/>
      <c r="AR34" s="544"/>
    </row>
    <row r="35" spans="1:44" s="212" customFormat="1" ht="15.75" thickBot="1" x14ac:dyDescent="0.3">
      <c r="A35" s="179"/>
      <c r="B35" s="246"/>
      <c r="C35" s="559" t="s">
        <v>26</v>
      </c>
      <c r="D35" s="531">
        <f>SUM(D21+D22+D23+D29+D30+D31+D32+D33+D34)</f>
        <v>1863012</v>
      </c>
      <c r="E35" s="531">
        <f t="shared" ref="E35:AN35" si="38">SUM(E21+E22+E23+E29+E30+E31+E32+E33+E34)</f>
        <v>0</v>
      </c>
      <c r="F35" s="531">
        <f t="shared" si="38"/>
        <v>37310</v>
      </c>
      <c r="G35" s="531">
        <f t="shared" si="38"/>
        <v>15660</v>
      </c>
      <c r="H35" s="531">
        <f t="shared" si="38"/>
        <v>145000</v>
      </c>
      <c r="I35" s="531">
        <f t="shared" ref="I35" si="39">SUM(I21+I22+I23+I29+I30+I31+I32+I33+I34)</f>
        <v>52560</v>
      </c>
      <c r="J35" s="531">
        <f t="shared" si="38"/>
        <v>33821</v>
      </c>
      <c r="K35" s="531">
        <f t="shared" ref="K35:L35" si="40">SUM(K21+K22+K23+K29+K30+K31+K32+K33+K34)</f>
        <v>10460</v>
      </c>
      <c r="L35" s="531">
        <f t="shared" si="40"/>
        <v>73729</v>
      </c>
      <c r="M35" s="531">
        <f t="shared" si="38"/>
        <v>852</v>
      </c>
      <c r="N35" s="531">
        <f t="shared" si="38"/>
        <v>11690</v>
      </c>
      <c r="O35" s="532">
        <f t="shared" ref="O35" si="41">SUM(O21+O22+O23+O29+O30+O31+O32+O33+O34)</f>
        <v>15916</v>
      </c>
      <c r="P35" s="532">
        <f>SUM(P21+P22+P23+P29+P30+P31+P32+P33+P34)</f>
        <v>3320</v>
      </c>
      <c r="Q35" s="532">
        <f>SUM(Q21+Q22+Q23+Q29+Q30+Q31+Q32+Q33+Q34)</f>
        <v>47817</v>
      </c>
      <c r="R35" s="532">
        <f t="shared" si="38"/>
        <v>64192</v>
      </c>
      <c r="S35" s="531">
        <f>SUM(S21+S22+S23+S29+S30+S31+S32+S33+S34)</f>
        <v>369955</v>
      </c>
      <c r="T35" s="532">
        <f t="shared" si="38"/>
        <v>4300</v>
      </c>
      <c r="U35" s="532">
        <f t="shared" ref="U35:W35" si="42">SUM(U21+U22+U23+U29+U30+U31+U32+U33+U34)</f>
        <v>7196</v>
      </c>
      <c r="V35" s="532">
        <f t="shared" ref="V35" si="43">SUM(V21+V22+V23+V29+V30+V31+V32+V33+V34)</f>
        <v>84769</v>
      </c>
      <c r="W35" s="532">
        <f t="shared" si="42"/>
        <v>907</v>
      </c>
      <c r="X35" s="532">
        <f t="shared" si="38"/>
        <v>4013</v>
      </c>
      <c r="Y35" s="532">
        <f t="shared" ref="Y35" si="44">SUM(Y21+Y22+Y23+Y29+Y30+Y31+Y32+Y33+Y34)</f>
        <v>18215</v>
      </c>
      <c r="Z35" s="532">
        <f t="shared" ref="Z35" si="45">SUM(Z21+Z22+Z23+Z29+Z30+Z31+Z32+Z33+Z34)</f>
        <v>20160</v>
      </c>
      <c r="AA35" s="532">
        <f t="shared" si="38"/>
        <v>43350</v>
      </c>
      <c r="AB35" s="531">
        <f t="shared" ref="AB35" si="46">SUM(AB21+AB22+AB23+AB29+AB30+AB31+AB32+AB33+AB34)</f>
        <v>54447</v>
      </c>
      <c r="AC35" s="531">
        <f t="shared" si="38"/>
        <v>1484</v>
      </c>
      <c r="AD35" s="531">
        <f t="shared" si="38"/>
        <v>7031</v>
      </c>
      <c r="AE35" s="531">
        <f t="shared" si="38"/>
        <v>10800</v>
      </c>
      <c r="AF35" s="531">
        <f t="shared" si="38"/>
        <v>24400</v>
      </c>
      <c r="AG35" s="531">
        <f t="shared" ref="AG35" si="47">SUM(AG21+AG22+AG23+AG29+AG30+AG31+AG32+AG33+AG34)</f>
        <v>34766</v>
      </c>
      <c r="AH35" s="531">
        <f t="shared" si="38"/>
        <v>4557</v>
      </c>
      <c r="AI35" s="531">
        <f>SUM(AI21+AI22+AI23+AI29+AI30+AI31+AI32+AI33+AI34)</f>
        <v>125290</v>
      </c>
      <c r="AJ35" s="531">
        <f t="shared" si="38"/>
        <v>7658</v>
      </c>
      <c r="AK35" s="531">
        <f t="shared" si="38"/>
        <v>4607</v>
      </c>
      <c r="AL35" s="531">
        <f t="shared" si="38"/>
        <v>2041</v>
      </c>
      <c r="AM35" s="531">
        <f>SUM(AM21+AM22+AM23+AM29+AM30+AM31+AM32+AM33+AM34)</f>
        <v>83319</v>
      </c>
      <c r="AN35" s="531">
        <f t="shared" si="38"/>
        <v>15830</v>
      </c>
      <c r="AO35" s="531">
        <f t="shared" ref="AO35:AQ35" si="48">SUM(AO21+AO22+AO23+AO29+AO30+AO31+AO32+AO33+AO34)</f>
        <v>30000</v>
      </c>
      <c r="AP35" s="531">
        <f>SUM(AP21+AP22+AP23+AP29+AP30+AP31+AP32+AP33+AP34)</f>
        <v>32864</v>
      </c>
      <c r="AQ35" s="531">
        <f t="shared" si="48"/>
        <v>22490</v>
      </c>
      <c r="AR35" s="531">
        <f t="shared" ref="AR35" si="49">SUM(AR21+AR22+AR23+AR29+AR30+AR31+AR32+AR33+AR34)</f>
        <v>336236</v>
      </c>
    </row>
    <row r="36" spans="1:44" s="502" customFormat="1" x14ac:dyDescent="0.2">
      <c r="A36" s="513"/>
      <c r="B36" s="513"/>
      <c r="C36" s="565"/>
      <c r="D36" s="545">
        <f t="shared" ref="D36:AN36" si="50">D17-D35</f>
        <v>0</v>
      </c>
      <c r="E36" s="515">
        <f t="shared" si="50"/>
        <v>0</v>
      </c>
      <c r="F36" s="515">
        <f t="shared" si="50"/>
        <v>0</v>
      </c>
      <c r="G36" s="515">
        <f t="shared" si="50"/>
        <v>0</v>
      </c>
      <c r="H36" s="515">
        <f t="shared" si="50"/>
        <v>0</v>
      </c>
      <c r="I36" s="515">
        <f t="shared" ref="I36" si="51">I17-I35</f>
        <v>0</v>
      </c>
      <c r="J36" s="515">
        <f t="shared" si="50"/>
        <v>0</v>
      </c>
      <c r="K36" s="515">
        <f t="shared" ref="K36:L36" si="52">K17-K35</f>
        <v>0</v>
      </c>
      <c r="L36" s="515">
        <f t="shared" si="52"/>
        <v>0</v>
      </c>
      <c r="M36" s="515">
        <f t="shared" si="50"/>
        <v>0</v>
      </c>
      <c r="N36" s="515">
        <f t="shared" si="50"/>
        <v>0</v>
      </c>
      <c r="O36" s="515">
        <f t="shared" ref="O36" si="53">O17-O35</f>
        <v>0</v>
      </c>
      <c r="P36" s="515">
        <f>P17-P35</f>
        <v>0</v>
      </c>
      <c r="Q36" s="515">
        <f>Q17-Q35</f>
        <v>0</v>
      </c>
      <c r="R36" s="515">
        <f t="shared" si="50"/>
        <v>0</v>
      </c>
      <c r="S36" s="515">
        <f>S17-S35</f>
        <v>0</v>
      </c>
      <c r="T36" s="515">
        <f t="shared" si="50"/>
        <v>0</v>
      </c>
      <c r="U36" s="515">
        <f t="shared" ref="U36:W36" si="54">U17-U35</f>
        <v>0</v>
      </c>
      <c r="V36" s="515">
        <f t="shared" ref="V36" si="55">V17-V35</f>
        <v>0</v>
      </c>
      <c r="W36" s="515">
        <f t="shared" si="54"/>
        <v>0</v>
      </c>
      <c r="X36" s="515">
        <f t="shared" si="50"/>
        <v>0</v>
      </c>
      <c r="Y36" s="515">
        <f t="shared" ref="Y36" si="56">Y17-Y35</f>
        <v>0</v>
      </c>
      <c r="Z36" s="515">
        <f t="shared" ref="Z36" si="57">Z17-Z35</f>
        <v>0</v>
      </c>
      <c r="AA36" s="515">
        <f t="shared" si="50"/>
        <v>0</v>
      </c>
      <c r="AB36" s="515">
        <f t="shared" ref="AB36" si="58">AB17-AB35</f>
        <v>0</v>
      </c>
      <c r="AC36" s="515">
        <f t="shared" si="50"/>
        <v>0</v>
      </c>
      <c r="AD36" s="515">
        <f t="shared" si="50"/>
        <v>0</v>
      </c>
      <c r="AE36" s="515">
        <f t="shared" si="50"/>
        <v>0</v>
      </c>
      <c r="AF36" s="515">
        <f t="shared" si="50"/>
        <v>0</v>
      </c>
      <c r="AG36" s="515">
        <f t="shared" ref="AG36" si="59">AG17-AG35</f>
        <v>0</v>
      </c>
      <c r="AH36" s="515">
        <f t="shared" si="50"/>
        <v>0</v>
      </c>
      <c r="AI36" s="515">
        <f>AI17-AI35</f>
        <v>0</v>
      </c>
      <c r="AJ36" s="515">
        <f t="shared" si="50"/>
        <v>0</v>
      </c>
      <c r="AK36" s="515">
        <f t="shared" si="50"/>
        <v>0</v>
      </c>
      <c r="AL36" s="515">
        <f t="shared" si="50"/>
        <v>0</v>
      </c>
      <c r="AM36" s="515">
        <f>AM17-AM35</f>
        <v>0</v>
      </c>
      <c r="AN36" s="515">
        <f t="shared" si="50"/>
        <v>0</v>
      </c>
      <c r="AO36" s="515">
        <f t="shared" ref="AO36:AQ36" si="60">AO17-AO35</f>
        <v>0</v>
      </c>
      <c r="AP36" s="515">
        <f>AP17-AP35</f>
        <v>0</v>
      </c>
      <c r="AQ36" s="515">
        <f t="shared" si="60"/>
        <v>0</v>
      </c>
      <c r="AR36" s="515">
        <f t="shared" ref="AR36" si="61">AR17-AR35</f>
        <v>0</v>
      </c>
    </row>
    <row r="37" spans="1:44" x14ac:dyDescent="0.2">
      <c r="C37" s="566"/>
      <c r="D37" s="546"/>
      <c r="E37" s="546"/>
      <c r="F37" s="546"/>
      <c r="G37" s="546"/>
      <c r="H37" s="536"/>
      <c r="I37" s="536"/>
      <c r="J37" s="547"/>
      <c r="K37" s="547"/>
      <c r="L37" s="547"/>
      <c r="M37" s="547"/>
      <c r="N37" s="547"/>
      <c r="O37" s="547"/>
      <c r="P37" s="536"/>
      <c r="Q37" s="536"/>
      <c r="R37" s="547"/>
      <c r="S37" s="536"/>
      <c r="T37" s="536"/>
      <c r="U37" s="536"/>
      <c r="V37" s="536"/>
      <c r="W37" s="536"/>
      <c r="X37" s="536"/>
      <c r="Y37" s="536"/>
      <c r="Z37" s="536"/>
      <c r="AA37" s="536"/>
      <c r="AB37" s="536"/>
      <c r="AC37" s="536"/>
      <c r="AD37" s="536"/>
      <c r="AE37" s="536"/>
      <c r="AF37" s="536"/>
      <c r="AG37" s="536"/>
      <c r="AH37" s="536"/>
      <c r="AI37" s="536"/>
      <c r="AJ37" s="536"/>
      <c r="AK37" s="536"/>
      <c r="AL37" s="536"/>
      <c r="AM37" s="536"/>
      <c r="AN37" s="536"/>
      <c r="AO37" s="546"/>
      <c r="AP37" s="536"/>
      <c r="AQ37" s="546"/>
      <c r="AR37" s="546"/>
    </row>
    <row r="38" spans="1:44" ht="15" x14ac:dyDescent="0.25">
      <c r="C38" s="345" t="s">
        <v>916</v>
      </c>
      <c r="D38" s="1"/>
      <c r="E38" s="546"/>
      <c r="F38" s="546"/>
      <c r="G38" s="546"/>
      <c r="H38" s="501"/>
      <c r="I38" s="501"/>
      <c r="J38" s="501"/>
      <c r="K38" s="501"/>
      <c r="L38" s="501"/>
      <c r="M38" s="501"/>
      <c r="N38" s="501"/>
      <c r="O38" s="501"/>
      <c r="P38" s="501"/>
      <c r="Q38" s="501"/>
      <c r="R38" s="501"/>
      <c r="S38" s="501"/>
      <c r="T38" s="501"/>
      <c r="U38" s="501"/>
      <c r="V38" s="501"/>
      <c r="W38" s="501"/>
      <c r="X38" s="501"/>
      <c r="Y38" s="501"/>
      <c r="Z38" s="501"/>
      <c r="AA38" s="501"/>
      <c r="AB38" s="501"/>
      <c r="AC38" s="501"/>
      <c r="AD38" s="501"/>
      <c r="AE38" s="501"/>
      <c r="AF38" s="501"/>
      <c r="AG38" s="501"/>
      <c r="AH38" s="501"/>
      <c r="AI38" s="501"/>
      <c r="AJ38" s="501"/>
      <c r="AK38" s="501"/>
      <c r="AL38" s="501"/>
      <c r="AM38" s="501"/>
      <c r="AN38" s="501"/>
      <c r="AO38" s="546"/>
      <c r="AP38" s="501"/>
      <c r="AQ38" s="546"/>
      <c r="AR38" s="546"/>
    </row>
    <row r="39" spans="1:44" s="501" customFormat="1" x14ac:dyDescent="0.2">
      <c r="C39" s="552"/>
      <c r="D39" s="548"/>
      <c r="E39" s="548"/>
      <c r="F39" s="548"/>
      <c r="G39" s="548"/>
      <c r="AO39" s="548"/>
      <c r="AQ39" s="548"/>
      <c r="AR39" s="548"/>
    </row>
    <row r="40" spans="1:44" x14ac:dyDescent="0.2">
      <c r="D40" s="548"/>
      <c r="E40" s="548"/>
      <c r="F40" s="548"/>
      <c r="G40" s="548"/>
      <c r="H40" s="501"/>
      <c r="I40" s="501"/>
      <c r="J40" s="503"/>
      <c r="K40" s="503"/>
      <c r="L40" s="503"/>
      <c r="M40" s="503"/>
      <c r="N40" s="503"/>
      <c r="O40" s="503"/>
      <c r="P40" s="501"/>
      <c r="Q40" s="501"/>
      <c r="R40" s="503"/>
      <c r="S40" s="501"/>
      <c r="T40" s="501"/>
      <c r="U40" s="501"/>
      <c r="V40" s="501"/>
      <c r="W40" s="501"/>
      <c r="X40" s="501"/>
      <c r="Y40" s="501"/>
      <c r="Z40" s="501"/>
      <c r="AA40" s="501"/>
      <c r="AB40" s="501"/>
      <c r="AC40" s="501"/>
      <c r="AD40" s="501"/>
      <c r="AE40" s="501"/>
      <c r="AF40" s="501"/>
      <c r="AG40" s="501"/>
      <c r="AH40" s="501"/>
      <c r="AI40" s="501"/>
      <c r="AJ40" s="501"/>
      <c r="AK40" s="501"/>
      <c r="AL40" s="501"/>
      <c r="AM40" s="501"/>
      <c r="AN40" s="501"/>
      <c r="AO40" s="548"/>
      <c r="AP40" s="501"/>
      <c r="AQ40" s="548"/>
      <c r="AR40" s="548"/>
    </row>
    <row r="41" spans="1:44" s="500" customFormat="1" x14ac:dyDescent="0.2">
      <c r="C41" s="551"/>
      <c r="D41" s="549"/>
      <c r="J41" s="503"/>
      <c r="K41" s="503"/>
      <c r="L41" s="503"/>
      <c r="M41" s="503"/>
      <c r="N41" s="503"/>
      <c r="O41" s="503"/>
      <c r="R41" s="503"/>
      <c r="W41" s="503"/>
      <c r="Y41" s="503"/>
      <c r="Z41" s="503"/>
      <c r="AA41" s="503"/>
    </row>
    <row r="42" spans="1:44" s="501" customFormat="1" x14ac:dyDescent="0.2">
      <c r="C42" s="567"/>
    </row>
    <row r="43" spans="1:44" x14ac:dyDescent="0.2">
      <c r="D43" s="500"/>
      <c r="E43" s="500"/>
      <c r="F43" s="500"/>
      <c r="G43" s="500"/>
      <c r="AO43" s="500"/>
      <c r="AQ43" s="500"/>
      <c r="AR43" s="500"/>
    </row>
  </sheetData>
  <pageMargins left="0.11811023622047245" right="0.11811023622047245" top="0.35433070866141736" bottom="0.35433070866141736" header="0.31496062992125984" footer="0.31496062992125984"/>
  <pageSetup paperSize="8" scale="3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zoomScale="92" zoomScaleNormal="92" workbookViewId="0">
      <pane xSplit="4" ySplit="7" topLeftCell="H17" activePane="bottomRight" state="frozen"/>
      <selection pane="topRight" activeCell="E1" sqref="E1"/>
      <selection pane="bottomLeft" activeCell="A7" sqref="A7"/>
      <selection pane="bottomRight" activeCell="N2" sqref="N2"/>
    </sheetView>
  </sheetViews>
  <sheetFormatPr defaultColWidth="9.140625" defaultRowHeight="12.75" x14ac:dyDescent="0.2"/>
  <cols>
    <col min="1" max="1" width="9.140625" style="19"/>
    <col min="2" max="2" width="6" style="19" bestFit="1" customWidth="1"/>
    <col min="3" max="3" width="38.5703125" style="19" customWidth="1"/>
    <col min="4" max="4" width="13" style="19" customWidth="1"/>
    <col min="5" max="5" width="13.140625" style="19" customWidth="1"/>
    <col min="6" max="6" width="15.140625" style="19" customWidth="1"/>
    <col min="7" max="7" width="13.5703125" style="19" customWidth="1"/>
    <col min="8" max="8" width="16.5703125" style="19" customWidth="1"/>
    <col min="9" max="9" width="14.140625" style="19" customWidth="1"/>
    <col min="10" max="10" width="15" style="19" customWidth="1"/>
    <col min="11" max="11" width="16.140625" style="19" customWidth="1"/>
    <col min="12" max="12" width="13.85546875" style="19" customWidth="1"/>
    <col min="13" max="13" width="14.28515625" style="19" customWidth="1"/>
    <col min="14" max="14" width="18.85546875" style="19" customWidth="1"/>
    <col min="15" max="15" width="15.140625" style="19" customWidth="1"/>
    <col min="16" max="16" width="17" style="19" customWidth="1"/>
    <col min="17" max="18" width="16.140625" style="19" customWidth="1"/>
    <col min="19" max="19" width="14.5703125" style="19" customWidth="1"/>
    <col min="20" max="20" width="17" style="19" customWidth="1"/>
    <col min="21" max="16384" width="9.140625" style="19"/>
  </cols>
  <sheetData>
    <row r="1" spans="1:22" ht="14.25" x14ac:dyDescent="0.2">
      <c r="A1" s="212"/>
      <c r="B1" s="550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550" t="s">
        <v>203</v>
      </c>
    </row>
    <row r="2" spans="1:22" ht="14.25" x14ac:dyDescent="0.2">
      <c r="A2" s="212"/>
      <c r="B2" s="551"/>
      <c r="C2" s="551" t="s">
        <v>0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</row>
    <row r="3" spans="1:22" ht="14.25" x14ac:dyDescent="0.2">
      <c r="A3" s="212" t="s">
        <v>729</v>
      </c>
      <c r="B3" s="551"/>
      <c r="C3" s="551"/>
      <c r="D3" s="212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</row>
    <row r="4" spans="1:22" ht="15.75" thickBot="1" x14ac:dyDescent="0.3">
      <c r="A4" s="212" t="s">
        <v>730</v>
      </c>
      <c r="B4" s="212"/>
      <c r="C4" s="186"/>
      <c r="D4" s="186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</row>
    <row r="5" spans="1:22" ht="16.5" thickBot="1" x14ac:dyDescent="0.3">
      <c r="A5" s="579"/>
      <c r="B5" s="580"/>
      <c r="C5" s="581" t="s">
        <v>122</v>
      </c>
      <c r="D5" s="505"/>
      <c r="E5" s="582" t="s">
        <v>835</v>
      </c>
      <c r="F5" s="582" t="s">
        <v>694</v>
      </c>
      <c r="G5" s="582" t="s">
        <v>876</v>
      </c>
      <c r="H5" s="582" t="s">
        <v>877</v>
      </c>
      <c r="I5" s="582" t="s">
        <v>878</v>
      </c>
      <c r="J5" s="582" t="s">
        <v>879</v>
      </c>
      <c r="K5" s="582" t="s">
        <v>634</v>
      </c>
      <c r="L5" s="582" t="s">
        <v>633</v>
      </c>
      <c r="M5" s="582" t="s">
        <v>632</v>
      </c>
      <c r="N5" s="582" t="s">
        <v>836</v>
      </c>
      <c r="O5" s="583" t="s">
        <v>630</v>
      </c>
      <c r="P5" s="582" t="s">
        <v>631</v>
      </c>
      <c r="Q5" s="582" t="s">
        <v>624</v>
      </c>
      <c r="R5" s="570" t="s">
        <v>907</v>
      </c>
      <c r="S5" s="582" t="s">
        <v>625</v>
      </c>
      <c r="T5" s="582" t="s">
        <v>911</v>
      </c>
    </row>
    <row r="6" spans="1:22" s="756" customFormat="1" ht="137.65" customHeight="1" thickBot="1" x14ac:dyDescent="0.3">
      <c r="A6" s="840"/>
      <c r="B6" s="841"/>
      <c r="C6" s="842"/>
      <c r="D6" s="843" t="s">
        <v>94</v>
      </c>
      <c r="E6" s="844" t="s">
        <v>834</v>
      </c>
      <c r="F6" s="845" t="s">
        <v>695</v>
      </c>
      <c r="G6" s="894" t="s">
        <v>852</v>
      </c>
      <c r="H6" s="895" t="s">
        <v>882</v>
      </c>
      <c r="I6" s="894" t="s">
        <v>883</v>
      </c>
      <c r="J6" s="894" t="s">
        <v>884</v>
      </c>
      <c r="K6" s="569" t="s">
        <v>626</v>
      </c>
      <c r="L6" s="846" t="s">
        <v>841</v>
      </c>
      <c r="M6" s="569" t="s">
        <v>925</v>
      </c>
      <c r="N6" s="748" t="s">
        <v>833</v>
      </c>
      <c r="O6" s="837" t="s">
        <v>665</v>
      </c>
      <c r="P6" s="569" t="s">
        <v>629</v>
      </c>
      <c r="Q6" s="569" t="s">
        <v>627</v>
      </c>
      <c r="R6" s="847" t="s">
        <v>909</v>
      </c>
      <c r="S6" s="569" t="s">
        <v>628</v>
      </c>
      <c r="T6" s="839" t="s">
        <v>912</v>
      </c>
    </row>
    <row r="7" spans="1:22" ht="15.75" customHeight="1" thickBot="1" x14ac:dyDescent="0.3">
      <c r="A7" s="584" t="s">
        <v>7</v>
      </c>
      <c r="B7" s="592" t="s">
        <v>7</v>
      </c>
      <c r="C7" s="897" t="s">
        <v>8</v>
      </c>
      <c r="D7" s="576" t="s">
        <v>28</v>
      </c>
      <c r="E7" s="453" t="s">
        <v>152</v>
      </c>
      <c r="F7" s="453" t="s">
        <v>152</v>
      </c>
      <c r="G7" s="453" t="s">
        <v>152</v>
      </c>
      <c r="H7" s="453" t="s">
        <v>152</v>
      </c>
      <c r="I7" s="453" t="s">
        <v>152</v>
      </c>
      <c r="J7" s="453" t="s">
        <v>152</v>
      </c>
      <c r="K7" s="453" t="s">
        <v>152</v>
      </c>
      <c r="L7" s="453" t="s">
        <v>152</v>
      </c>
      <c r="M7" s="453" t="s">
        <v>152</v>
      </c>
      <c r="N7" s="453" t="s">
        <v>152</v>
      </c>
      <c r="O7" s="453" t="s">
        <v>152</v>
      </c>
      <c r="P7" s="453" t="s">
        <v>152</v>
      </c>
      <c r="Q7" s="453" t="s">
        <v>152</v>
      </c>
      <c r="R7" s="453" t="s">
        <v>152</v>
      </c>
      <c r="S7" s="453" t="s">
        <v>152</v>
      </c>
      <c r="T7" s="453" t="s">
        <v>152</v>
      </c>
    </row>
    <row r="8" spans="1:22" ht="15" x14ac:dyDescent="0.25">
      <c r="A8" s="216"/>
      <c r="B8" s="248"/>
      <c r="C8" s="595" t="s">
        <v>131</v>
      </c>
      <c r="D8" s="259">
        <f t="shared" ref="D8:D13" si="0">SUM(E8:T8)</f>
        <v>792025</v>
      </c>
      <c r="E8" s="590">
        <v>0</v>
      </c>
      <c r="F8" s="590">
        <v>0</v>
      </c>
      <c r="G8" s="590"/>
      <c r="H8" s="590"/>
      <c r="I8" s="590"/>
      <c r="J8" s="590"/>
      <c r="K8" s="590">
        <v>41796</v>
      </c>
      <c r="L8" s="590">
        <v>0</v>
      </c>
      <c r="M8" s="590">
        <v>0</v>
      </c>
      <c r="N8" s="590"/>
      <c r="O8" s="590"/>
      <c r="P8" s="590">
        <v>0</v>
      </c>
      <c r="Q8" s="590">
        <v>0</v>
      </c>
      <c r="R8" s="590"/>
      <c r="S8" s="590">
        <v>750229</v>
      </c>
      <c r="T8" s="590">
        <v>0</v>
      </c>
    </row>
    <row r="9" spans="1:22" ht="15" x14ac:dyDescent="0.25">
      <c r="A9" s="217"/>
      <c r="B9" s="181"/>
      <c r="C9" s="596" t="s">
        <v>132</v>
      </c>
      <c r="D9" s="259">
        <f t="shared" si="0"/>
        <v>401390</v>
      </c>
      <c r="E9" s="454"/>
      <c r="F9" s="454"/>
      <c r="G9" s="577">
        <v>4538</v>
      </c>
      <c r="H9" s="577">
        <v>3630</v>
      </c>
      <c r="I9" s="577">
        <v>2723</v>
      </c>
      <c r="J9" s="577">
        <v>2723</v>
      </c>
      <c r="K9" s="577">
        <v>61813</v>
      </c>
      <c r="L9" s="577">
        <f>72352+54777+42117+41922-20000+282</f>
        <v>191450</v>
      </c>
      <c r="M9" s="577">
        <v>10000</v>
      </c>
      <c r="N9" s="577">
        <v>69176</v>
      </c>
      <c r="O9" s="454"/>
      <c r="P9" s="577">
        <v>200</v>
      </c>
      <c r="Q9" s="293">
        <v>50200</v>
      </c>
      <c r="R9" s="577"/>
      <c r="S9" s="577">
        <v>4937</v>
      </c>
      <c r="T9" s="577"/>
    </row>
    <row r="10" spans="1:22" ht="15" x14ac:dyDescent="0.25">
      <c r="A10" s="217"/>
      <c r="B10" s="181"/>
      <c r="C10" s="596" t="s">
        <v>53</v>
      </c>
      <c r="D10" s="259">
        <f t="shared" si="0"/>
        <v>7070246</v>
      </c>
      <c r="E10" s="299">
        <v>150000</v>
      </c>
      <c r="F10" s="299">
        <f>974219-854429</f>
        <v>119790</v>
      </c>
      <c r="G10" s="299">
        <v>25712</v>
      </c>
      <c r="H10" s="299">
        <v>20570</v>
      </c>
      <c r="I10" s="299">
        <v>15427</v>
      </c>
      <c r="J10" s="299">
        <v>15427</v>
      </c>
      <c r="K10" s="299">
        <f>1243986-41796</f>
        <v>1202190</v>
      </c>
      <c r="L10" s="299">
        <f>409995-42117</f>
        <v>367878</v>
      </c>
      <c r="M10" s="299">
        <v>57000</v>
      </c>
      <c r="N10" s="299">
        <v>196432</v>
      </c>
      <c r="O10" s="299">
        <f>118832-8609+2271+6338</f>
        <v>118832</v>
      </c>
      <c r="P10" s="299">
        <v>79549</v>
      </c>
      <c r="Q10" s="293">
        <f>5000000/2</f>
        <v>2500000</v>
      </c>
      <c r="R10" s="293">
        <f>1410686</f>
        <v>1410686</v>
      </c>
      <c r="S10" s="293">
        <f>731742+4114</f>
        <v>735856</v>
      </c>
      <c r="T10" s="299">
        <v>54897</v>
      </c>
    </row>
    <row r="11" spans="1:22" ht="15" x14ac:dyDescent="0.25">
      <c r="A11" s="218"/>
      <c r="B11" s="249"/>
      <c r="C11" s="596" t="s">
        <v>167</v>
      </c>
      <c r="D11" s="259">
        <f t="shared" si="0"/>
        <v>6922628.5300000003</v>
      </c>
      <c r="E11" s="178">
        <v>255702</v>
      </c>
      <c r="F11" s="178"/>
      <c r="G11" s="178"/>
      <c r="H11" s="178"/>
      <c r="I11" s="178"/>
      <c r="J11" s="178"/>
      <c r="K11" s="178">
        <v>350273</v>
      </c>
      <c r="L11" s="178">
        <v>310403</v>
      </c>
      <c r="M11" s="178"/>
      <c r="N11" s="178">
        <v>231096</v>
      </c>
      <c r="O11" s="178"/>
      <c r="P11" s="178">
        <v>231625</v>
      </c>
      <c r="Q11" s="178">
        <f>Q30-Q9-Q10</f>
        <v>3469377.5300000003</v>
      </c>
      <c r="R11" s="178">
        <f>480567</f>
        <v>480567</v>
      </c>
      <c r="S11" s="178">
        <v>1593585</v>
      </c>
      <c r="T11" s="178"/>
      <c r="V11" s="27"/>
    </row>
    <row r="12" spans="1:22" ht="15" x14ac:dyDescent="0.25">
      <c r="A12" s="218"/>
      <c r="B12" s="249"/>
      <c r="C12" s="597" t="s">
        <v>168</v>
      </c>
      <c r="D12" s="259">
        <f t="shared" si="0"/>
        <v>1010728</v>
      </c>
      <c r="E12" s="295"/>
      <c r="F12" s="295"/>
      <c r="G12" s="178"/>
      <c r="H12" s="178"/>
      <c r="I12" s="178"/>
      <c r="J12" s="178"/>
      <c r="K12" s="178">
        <v>675902</v>
      </c>
      <c r="L12" s="178"/>
      <c r="M12" s="178"/>
      <c r="N12" s="178"/>
      <c r="O12" s="178"/>
      <c r="P12" s="178"/>
      <c r="Q12" s="178"/>
      <c r="R12" s="178"/>
      <c r="S12" s="178">
        <f>220741+114085</f>
        <v>334826</v>
      </c>
      <c r="T12" s="178"/>
    </row>
    <row r="13" spans="1:22" ht="15.75" thickBot="1" x14ac:dyDescent="0.3">
      <c r="A13" s="218"/>
      <c r="B13" s="249"/>
      <c r="C13" s="218" t="s">
        <v>620</v>
      </c>
      <c r="D13" s="578">
        <f t="shared" si="0"/>
        <v>0</v>
      </c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</row>
    <row r="14" spans="1:22" s="61" customFormat="1" ht="14.25" x14ac:dyDescent="0.2">
      <c r="A14" s="587"/>
      <c r="B14" s="593"/>
      <c r="C14" s="598" t="s">
        <v>31</v>
      </c>
      <c r="D14" s="599">
        <f>SUM(D9:D13)</f>
        <v>15404992.530000001</v>
      </c>
      <c r="E14" s="588">
        <f t="shared" ref="E14:T14" si="1">SUM(E9:E13)</f>
        <v>405702</v>
      </c>
      <c r="F14" s="588">
        <f t="shared" ref="F14" si="2">SUM(F9:F13)</f>
        <v>119790</v>
      </c>
      <c r="G14" s="588">
        <f t="shared" ref="G14:M14" si="3">SUM(G9:G13)</f>
        <v>30250</v>
      </c>
      <c r="H14" s="588">
        <f t="shared" si="3"/>
        <v>24200</v>
      </c>
      <c r="I14" s="588">
        <f t="shared" si="3"/>
        <v>18150</v>
      </c>
      <c r="J14" s="588">
        <f t="shared" si="3"/>
        <v>18150</v>
      </c>
      <c r="K14" s="588">
        <f t="shared" si="3"/>
        <v>2290178</v>
      </c>
      <c r="L14" s="588">
        <f t="shared" si="3"/>
        <v>869731</v>
      </c>
      <c r="M14" s="588">
        <f t="shared" si="3"/>
        <v>67000</v>
      </c>
      <c r="N14" s="588">
        <f t="shared" ref="N14" si="4">SUM(N9:N13)</f>
        <v>496704</v>
      </c>
      <c r="O14" s="588">
        <f t="shared" si="1"/>
        <v>118832</v>
      </c>
      <c r="P14" s="588">
        <f t="shared" ref="P14" si="5">SUM(P9:P13)</f>
        <v>311374</v>
      </c>
      <c r="Q14" s="588">
        <f t="shared" si="1"/>
        <v>6019577.5300000003</v>
      </c>
      <c r="R14" s="588">
        <f t="shared" ref="R14" si="6">SUM(R9:R13)</f>
        <v>1891253</v>
      </c>
      <c r="S14" s="588">
        <f t="shared" si="1"/>
        <v>2669204</v>
      </c>
      <c r="T14" s="588">
        <f t="shared" si="1"/>
        <v>54897</v>
      </c>
    </row>
    <row r="15" spans="1:22" s="61" customFormat="1" ht="15" thickBot="1" x14ac:dyDescent="0.25">
      <c r="A15" s="589"/>
      <c r="B15" s="594"/>
      <c r="C15" s="600" t="s">
        <v>133</v>
      </c>
      <c r="D15" s="585">
        <f>SUM(D8+D14)</f>
        <v>16197017.530000001</v>
      </c>
      <c r="E15" s="300">
        <f t="shared" ref="E15:T15" si="7">SUM(E8+E14)</f>
        <v>405702</v>
      </c>
      <c r="F15" s="300">
        <f t="shared" ref="F15" si="8">SUM(F8+F14)</f>
        <v>119790</v>
      </c>
      <c r="G15" s="300">
        <f t="shared" ref="G15:M15" si="9">SUM(G8+G14)</f>
        <v>30250</v>
      </c>
      <c r="H15" s="300">
        <f t="shared" si="9"/>
        <v>24200</v>
      </c>
      <c r="I15" s="300">
        <f t="shared" si="9"/>
        <v>18150</v>
      </c>
      <c r="J15" s="300">
        <f t="shared" si="9"/>
        <v>18150</v>
      </c>
      <c r="K15" s="300">
        <f t="shared" si="9"/>
        <v>2331974</v>
      </c>
      <c r="L15" s="300">
        <f t="shared" si="9"/>
        <v>869731</v>
      </c>
      <c r="M15" s="300">
        <f t="shared" si="9"/>
        <v>67000</v>
      </c>
      <c r="N15" s="300">
        <f t="shared" ref="N15" si="10">SUM(N8+N14)</f>
        <v>496704</v>
      </c>
      <c r="O15" s="300">
        <f t="shared" si="7"/>
        <v>118832</v>
      </c>
      <c r="P15" s="300">
        <f t="shared" ref="P15" si="11">SUM(P8+P14)</f>
        <v>311374</v>
      </c>
      <c r="Q15" s="300">
        <f t="shared" si="7"/>
        <v>6019577.5300000003</v>
      </c>
      <c r="R15" s="300">
        <f t="shared" ref="R15" si="12">SUM(R8+R14)</f>
        <v>1891253</v>
      </c>
      <c r="S15" s="300">
        <f t="shared" si="7"/>
        <v>3419433</v>
      </c>
      <c r="T15" s="300">
        <f t="shared" si="7"/>
        <v>54897</v>
      </c>
      <c r="V15" s="822"/>
    </row>
    <row r="16" spans="1:22" ht="15" x14ac:dyDescent="0.25">
      <c r="A16" s="186"/>
      <c r="B16" s="186"/>
      <c r="C16" s="175"/>
      <c r="D16" s="586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</row>
    <row r="17" spans="1:20" ht="15" x14ac:dyDescent="0.25">
      <c r="A17" s="186"/>
      <c r="B17" s="186"/>
      <c r="C17" s="175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</row>
    <row r="18" spans="1:20" s="1" customFormat="1" ht="15.75" thickBot="1" x14ac:dyDescent="0.3">
      <c r="A18" s="186"/>
      <c r="B18" s="186"/>
      <c r="C18" s="239"/>
      <c r="D18" s="586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</row>
    <row r="19" spans="1:20" ht="16.5" thickBot="1" x14ac:dyDescent="0.3">
      <c r="A19" s="226" t="s">
        <v>7</v>
      </c>
      <c r="B19" s="592" t="s">
        <v>7</v>
      </c>
      <c r="C19" s="898" t="s">
        <v>10</v>
      </c>
      <c r="D19" s="602" t="s">
        <v>29</v>
      </c>
      <c r="E19" s="601" t="s">
        <v>152</v>
      </c>
      <c r="F19" s="601" t="s">
        <v>152</v>
      </c>
      <c r="G19" s="601" t="s">
        <v>152</v>
      </c>
      <c r="H19" s="601" t="s">
        <v>152</v>
      </c>
      <c r="I19" s="601" t="s">
        <v>152</v>
      </c>
      <c r="J19" s="601" t="s">
        <v>152</v>
      </c>
      <c r="K19" s="601" t="s">
        <v>152</v>
      </c>
      <c r="L19" s="601" t="s">
        <v>152</v>
      </c>
      <c r="M19" s="601" t="s">
        <v>152</v>
      </c>
      <c r="N19" s="601" t="s">
        <v>152</v>
      </c>
      <c r="O19" s="601" t="s">
        <v>152</v>
      </c>
      <c r="P19" s="601" t="s">
        <v>152</v>
      </c>
      <c r="Q19" s="601" t="s">
        <v>152</v>
      </c>
      <c r="R19" s="601" t="s">
        <v>152</v>
      </c>
      <c r="S19" s="601" t="s">
        <v>152</v>
      </c>
      <c r="T19" s="601" t="s">
        <v>152</v>
      </c>
    </row>
    <row r="20" spans="1:20" ht="15.75" thickBot="1" x14ac:dyDescent="0.3">
      <c r="A20" s="247">
        <v>1100</v>
      </c>
      <c r="B20" s="248"/>
      <c r="C20" s="216" t="s">
        <v>11</v>
      </c>
      <c r="D20" s="259">
        <f>SUM(E20:T20)</f>
        <v>11054</v>
      </c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>
        <v>11054</v>
      </c>
      <c r="P20" s="184"/>
      <c r="Q20" s="184"/>
      <c r="R20" s="184"/>
      <c r="S20" s="184"/>
      <c r="T20" s="184"/>
    </row>
    <row r="21" spans="1:20" ht="45" x14ac:dyDescent="0.25">
      <c r="A21" s="228">
        <v>1200</v>
      </c>
      <c r="B21" s="181"/>
      <c r="C21" s="596" t="s">
        <v>12</v>
      </c>
      <c r="D21" s="603">
        <f>SUM(E21:T21)</f>
        <v>2608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>
        <v>2608</v>
      </c>
      <c r="P21" s="178"/>
      <c r="Q21" s="178"/>
      <c r="R21" s="178"/>
      <c r="S21" s="178"/>
      <c r="T21" s="178"/>
    </row>
    <row r="22" spans="1:20" ht="15" x14ac:dyDescent="0.25">
      <c r="A22" s="228">
        <v>2000</v>
      </c>
      <c r="B22" s="181"/>
      <c r="C22" s="217" t="s">
        <v>13</v>
      </c>
      <c r="D22" s="604">
        <f>SUM(D23+D24+D25+D26+D27)</f>
        <v>323603</v>
      </c>
      <c r="E22" s="178">
        <f t="shared" ref="E22:T22" si="13">SUM(E23+E24+E25+E26+E27)</f>
        <v>0</v>
      </c>
      <c r="F22" s="295">
        <f t="shared" si="13"/>
        <v>119790</v>
      </c>
      <c r="G22" s="295">
        <f t="shared" ref="G22:N22" si="14">SUM(G23+G24+G25+G26+G27)</f>
        <v>0</v>
      </c>
      <c r="H22" s="295">
        <f t="shared" si="14"/>
        <v>0</v>
      </c>
      <c r="I22" s="295">
        <f t="shared" si="14"/>
        <v>0</v>
      </c>
      <c r="J22" s="295">
        <f t="shared" si="14"/>
        <v>0</v>
      </c>
      <c r="K22" s="295">
        <f t="shared" si="14"/>
        <v>0</v>
      </c>
      <c r="L22" s="295">
        <f t="shared" si="14"/>
        <v>0</v>
      </c>
      <c r="M22" s="295">
        <f t="shared" si="14"/>
        <v>0</v>
      </c>
      <c r="N22" s="295">
        <f t="shared" si="14"/>
        <v>0</v>
      </c>
      <c r="O22" s="295">
        <f t="shared" si="13"/>
        <v>105170</v>
      </c>
      <c r="P22" s="295">
        <f t="shared" ref="P22" si="15">SUM(P23+P24+P25+P26+P27)</f>
        <v>0</v>
      </c>
      <c r="Q22" s="295">
        <f t="shared" si="13"/>
        <v>0</v>
      </c>
      <c r="R22" s="295"/>
      <c r="S22" s="295">
        <f t="shared" si="13"/>
        <v>98643</v>
      </c>
      <c r="T22" s="295">
        <f t="shared" si="13"/>
        <v>0</v>
      </c>
    </row>
    <row r="23" spans="1:20" ht="15" x14ac:dyDescent="0.25">
      <c r="A23" s="228">
        <v>2100</v>
      </c>
      <c r="B23" s="181"/>
      <c r="C23" s="217" t="s">
        <v>14</v>
      </c>
      <c r="D23" s="604">
        <f t="shared" ref="D23:D33" si="16">SUM(E23:T23)</f>
        <v>0</v>
      </c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</row>
    <row r="24" spans="1:20" ht="15" x14ac:dyDescent="0.25">
      <c r="A24" s="228">
        <v>2200</v>
      </c>
      <c r="B24" s="181"/>
      <c r="C24" s="217" t="s">
        <v>15</v>
      </c>
      <c r="D24" s="604">
        <f t="shared" si="16"/>
        <v>223642</v>
      </c>
      <c r="E24" s="295"/>
      <c r="F24" s="178">
        <f>974219-854429</f>
        <v>119790</v>
      </c>
      <c r="G24" s="178"/>
      <c r="H24" s="178"/>
      <c r="I24" s="178"/>
      <c r="J24" s="178"/>
      <c r="K24" s="178"/>
      <c r="L24" s="178"/>
      <c r="M24" s="178"/>
      <c r="N24" s="178"/>
      <c r="O24" s="178">
        <f>118832-13662-1318</f>
        <v>103852</v>
      </c>
      <c r="P24" s="178"/>
      <c r="Q24" s="178"/>
      <c r="R24" s="178"/>
      <c r="S24" s="178"/>
      <c r="T24" s="178"/>
    </row>
    <row r="25" spans="1:20" ht="45" x14ac:dyDescent="0.25">
      <c r="A25" s="228">
        <v>2300</v>
      </c>
      <c r="B25" s="181"/>
      <c r="C25" s="596" t="s">
        <v>16</v>
      </c>
      <c r="D25" s="604">
        <f t="shared" si="16"/>
        <v>99961</v>
      </c>
      <c r="E25" s="295"/>
      <c r="F25" s="295"/>
      <c r="G25" s="295"/>
      <c r="H25" s="295"/>
      <c r="I25" s="295"/>
      <c r="J25" s="295"/>
      <c r="K25" s="295"/>
      <c r="L25" s="295"/>
      <c r="M25" s="295"/>
      <c r="N25" s="178"/>
      <c r="O25" s="178">
        <v>1318</v>
      </c>
      <c r="P25" s="295"/>
      <c r="Q25" s="295"/>
      <c r="R25" s="295"/>
      <c r="S25" s="178">
        <v>98643</v>
      </c>
      <c r="T25" s="295"/>
    </row>
    <row r="26" spans="1:20" ht="15" x14ac:dyDescent="0.25">
      <c r="A26" s="228">
        <v>2400</v>
      </c>
      <c r="B26" s="181"/>
      <c r="C26" s="217" t="s">
        <v>134</v>
      </c>
      <c r="D26" s="604">
        <f t="shared" si="16"/>
        <v>0</v>
      </c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</row>
    <row r="27" spans="1:20" ht="15" x14ac:dyDescent="0.25">
      <c r="A27" s="228">
        <v>2500</v>
      </c>
      <c r="B27" s="181"/>
      <c r="C27" s="217" t="s">
        <v>17</v>
      </c>
      <c r="D27" s="604">
        <f t="shared" si="16"/>
        <v>0</v>
      </c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</row>
    <row r="28" spans="1:20" ht="15" x14ac:dyDescent="0.25">
      <c r="A28" s="228">
        <v>3200</v>
      </c>
      <c r="B28" s="181">
        <v>3260</v>
      </c>
      <c r="C28" s="217" t="s">
        <v>135</v>
      </c>
      <c r="D28" s="604">
        <f t="shared" si="16"/>
        <v>0</v>
      </c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</row>
    <row r="29" spans="1:20" ht="15" x14ac:dyDescent="0.25">
      <c r="A29" s="228">
        <v>5100</v>
      </c>
      <c r="B29" s="181"/>
      <c r="C29" s="217" t="s">
        <v>22</v>
      </c>
      <c r="D29" s="604">
        <f t="shared" si="16"/>
        <v>0</v>
      </c>
      <c r="E29" s="295"/>
      <c r="F29" s="295"/>
      <c r="G29" s="295"/>
      <c r="H29" s="295"/>
      <c r="I29" s="295"/>
      <c r="J29" s="295"/>
      <c r="K29" s="295"/>
      <c r="L29" s="295"/>
      <c r="M29" s="295"/>
      <c r="N29" s="178"/>
      <c r="O29" s="295"/>
      <c r="P29" s="295"/>
      <c r="Q29" s="295"/>
      <c r="R29" s="295"/>
      <c r="S29" s="295"/>
      <c r="T29" s="295"/>
    </row>
    <row r="30" spans="1:20" ht="15" x14ac:dyDescent="0.25">
      <c r="A30" s="228">
        <v>5200</v>
      </c>
      <c r="B30" s="181"/>
      <c r="C30" s="217" t="s">
        <v>23</v>
      </c>
      <c r="D30" s="604">
        <f t="shared" si="16"/>
        <v>15859752.530000001</v>
      </c>
      <c r="E30" s="178">
        <v>405702</v>
      </c>
      <c r="F30" s="178"/>
      <c r="G30" s="178">
        <v>30250</v>
      </c>
      <c r="H30" s="178">
        <v>24200</v>
      </c>
      <c r="I30" s="178">
        <v>18150</v>
      </c>
      <c r="J30" s="178">
        <v>18150</v>
      </c>
      <c r="K30" s="178">
        <v>2331974</v>
      </c>
      <c r="L30" s="178">
        <f>847527+22204</f>
        <v>869731</v>
      </c>
      <c r="M30" s="178">
        <v>67000</v>
      </c>
      <c r="N30" s="178">
        <v>496704</v>
      </c>
      <c r="O30" s="178"/>
      <c r="P30" s="178">
        <v>311374</v>
      </c>
      <c r="Q30" s="178">
        <v>6019577.5300000003</v>
      </c>
      <c r="R30" s="178">
        <v>1891253</v>
      </c>
      <c r="S30" s="178">
        <f>3419433-98643</f>
        <v>3320790</v>
      </c>
      <c r="T30" s="178">
        <v>54897</v>
      </c>
    </row>
    <row r="31" spans="1:20" ht="15" x14ac:dyDescent="0.25">
      <c r="A31" s="228">
        <v>6200</v>
      </c>
      <c r="B31" s="181"/>
      <c r="C31" s="217" t="s">
        <v>24</v>
      </c>
      <c r="D31" s="604">
        <f t="shared" si="16"/>
        <v>0</v>
      </c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</row>
    <row r="32" spans="1:20" ht="15" x14ac:dyDescent="0.25">
      <c r="A32" s="229">
        <v>7240</v>
      </c>
      <c r="B32" s="249"/>
      <c r="C32" s="605" t="s">
        <v>136</v>
      </c>
      <c r="D32" s="604">
        <f t="shared" si="16"/>
        <v>0</v>
      </c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</row>
    <row r="33" spans="1:20" ht="15.75" thickBot="1" x14ac:dyDescent="0.3">
      <c r="A33" s="229">
        <v>7700</v>
      </c>
      <c r="B33" s="249">
        <v>7720</v>
      </c>
      <c r="C33" s="606" t="s">
        <v>623</v>
      </c>
      <c r="D33" s="607">
        <f t="shared" si="16"/>
        <v>0</v>
      </c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</row>
    <row r="34" spans="1:20" s="61" customFormat="1" ht="15" thickBot="1" x14ac:dyDescent="0.25">
      <c r="A34" s="219"/>
      <c r="B34" s="220"/>
      <c r="C34" s="180" t="s">
        <v>26</v>
      </c>
      <c r="D34" s="222">
        <f>SUM(D20+D21+D22+D28+D29+D30+D31+D32+D33)</f>
        <v>16197017.530000001</v>
      </c>
      <c r="E34" s="222">
        <f t="shared" ref="E34" si="17">SUM(E20+E21+E22+E28+E29+E30+E31+E32+E33)</f>
        <v>405702</v>
      </c>
      <c r="F34" s="222">
        <f t="shared" ref="F34:T34" si="18">SUM(F20+F21+F22+F28+F29+F30+F31+F32+F33)</f>
        <v>119790</v>
      </c>
      <c r="G34" s="222">
        <f t="shared" ref="G34:N34" si="19">SUM(G20+G21+G22+G28+G29+G30+G31+G32+G33)</f>
        <v>30250</v>
      </c>
      <c r="H34" s="222">
        <f t="shared" si="19"/>
        <v>24200</v>
      </c>
      <c r="I34" s="222">
        <f t="shared" si="19"/>
        <v>18150</v>
      </c>
      <c r="J34" s="222">
        <f t="shared" si="19"/>
        <v>18150</v>
      </c>
      <c r="K34" s="222">
        <f t="shared" si="19"/>
        <v>2331974</v>
      </c>
      <c r="L34" s="222">
        <f t="shared" si="19"/>
        <v>869731</v>
      </c>
      <c r="M34" s="222">
        <f t="shared" si="19"/>
        <v>67000</v>
      </c>
      <c r="N34" s="222">
        <f t="shared" si="19"/>
        <v>496704</v>
      </c>
      <c r="O34" s="222">
        <f t="shared" si="18"/>
        <v>118832</v>
      </c>
      <c r="P34" s="222">
        <f t="shared" ref="P34" si="20">SUM(P20+P21+P22+P28+P29+P30+P31+P32+P33)</f>
        <v>311374</v>
      </c>
      <c r="Q34" s="222">
        <f t="shared" si="18"/>
        <v>6019577.5300000003</v>
      </c>
      <c r="R34" s="222">
        <f t="shared" ref="R34" si="21">SUM(R20+R21+R22+R28+R29+R30+R31+R32+R33)</f>
        <v>1891253</v>
      </c>
      <c r="S34" s="222">
        <f t="shared" si="18"/>
        <v>3419433</v>
      </c>
      <c r="T34" s="222">
        <f t="shared" si="18"/>
        <v>54897</v>
      </c>
    </row>
    <row r="35" spans="1:20" s="61" customFormat="1" ht="15" thickBot="1" x14ac:dyDescent="0.25">
      <c r="A35" s="223"/>
      <c r="B35" s="224"/>
      <c r="C35" s="182"/>
      <c r="D35" s="260">
        <f t="shared" ref="D35:E35" si="22">D15-D34</f>
        <v>0</v>
      </c>
      <c r="E35" s="608">
        <f t="shared" si="22"/>
        <v>0</v>
      </c>
      <c r="F35" s="608">
        <f t="shared" ref="F35:T35" si="23">F15-F34</f>
        <v>0</v>
      </c>
      <c r="G35" s="608">
        <f t="shared" ref="G35:J35" si="24">G15-G34</f>
        <v>0</v>
      </c>
      <c r="H35" s="608">
        <f t="shared" si="24"/>
        <v>0</v>
      </c>
      <c r="I35" s="608">
        <f t="shared" si="24"/>
        <v>0</v>
      </c>
      <c r="J35" s="608">
        <f t="shared" si="24"/>
        <v>0</v>
      </c>
      <c r="K35" s="608">
        <f>K15-K34</f>
        <v>0</v>
      </c>
      <c r="L35" s="608">
        <f>L15-L34</f>
        <v>0</v>
      </c>
      <c r="M35" s="608">
        <f>M15-M34</f>
        <v>0</v>
      </c>
      <c r="N35" s="608">
        <f>N15-N34</f>
        <v>0</v>
      </c>
      <c r="O35" s="608">
        <f t="shared" si="23"/>
        <v>0</v>
      </c>
      <c r="P35" s="608">
        <f t="shared" ref="P35" si="25">P15-P34</f>
        <v>0</v>
      </c>
      <c r="Q35" s="608">
        <f t="shared" si="23"/>
        <v>0</v>
      </c>
      <c r="R35" s="608">
        <f t="shared" ref="R35" si="26">R15-R34</f>
        <v>0</v>
      </c>
      <c r="S35" s="608">
        <f t="shared" si="23"/>
        <v>0</v>
      </c>
      <c r="T35" s="608">
        <f t="shared" si="23"/>
        <v>0</v>
      </c>
    </row>
    <row r="36" spans="1:20" ht="15" x14ac:dyDescent="0.25">
      <c r="A36" s="212"/>
      <c r="B36" s="212"/>
      <c r="C36" s="360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</row>
    <row r="38" spans="1:20" ht="15" x14ac:dyDescent="0.25">
      <c r="C38" s="5" t="s">
        <v>916</v>
      </c>
      <c r="D38" s="1"/>
    </row>
    <row r="48" spans="1:20" x14ac:dyDescent="0.2">
      <c r="C48" s="27"/>
    </row>
    <row r="49" spans="3:3" x14ac:dyDescent="0.2">
      <c r="C49" s="27"/>
    </row>
    <row r="50" spans="3:3" x14ac:dyDescent="0.2">
      <c r="C50" s="27"/>
    </row>
  </sheetData>
  <pageMargins left="0.11811023622047245" right="0.11811023622047245" top="0.55118110236220474" bottom="0.35433070866141736" header="0.31496062992125984" footer="0.31496062992125984"/>
  <pageSetup paperSize="9" scale="46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4" sqref="D4"/>
    </sheetView>
  </sheetViews>
  <sheetFormatPr defaultRowHeight="11.25" x14ac:dyDescent="0.2"/>
  <cols>
    <col min="1" max="1" width="5.85546875" style="148" customWidth="1"/>
    <col min="2" max="2" width="54.140625" style="152" customWidth="1"/>
    <col min="3" max="3" width="13.85546875" style="148" customWidth="1"/>
    <col min="4" max="4" width="10.42578125" style="148" customWidth="1"/>
    <col min="5" max="5" width="9.140625" style="148" customWidth="1"/>
    <col min="6" max="6" width="9.85546875" style="148" customWidth="1"/>
    <col min="7" max="7" width="10.42578125" style="148" customWidth="1"/>
    <col min="8" max="9" width="9.140625" style="148"/>
    <col min="10" max="10" width="9.140625" style="148" customWidth="1"/>
    <col min="11" max="255" width="9.140625" style="148"/>
    <col min="256" max="256" width="5.85546875" style="148" customWidth="1"/>
    <col min="257" max="257" width="54.140625" style="148" customWidth="1"/>
    <col min="258" max="258" width="13.85546875" style="148" customWidth="1"/>
    <col min="259" max="259" width="10" style="148" customWidth="1"/>
    <col min="260" max="260" width="11.42578125" style="148" customWidth="1"/>
    <col min="261" max="511" width="9.140625" style="148"/>
    <col min="512" max="512" width="5.85546875" style="148" customWidth="1"/>
    <col min="513" max="513" width="54.140625" style="148" customWidth="1"/>
    <col min="514" max="514" width="13.85546875" style="148" customWidth="1"/>
    <col min="515" max="515" width="10" style="148" customWidth="1"/>
    <col min="516" max="516" width="11.42578125" style="148" customWidth="1"/>
    <col min="517" max="767" width="9.140625" style="148"/>
    <col min="768" max="768" width="5.85546875" style="148" customWidth="1"/>
    <col min="769" max="769" width="54.140625" style="148" customWidth="1"/>
    <col min="770" max="770" width="13.85546875" style="148" customWidth="1"/>
    <col min="771" max="771" width="10" style="148" customWidth="1"/>
    <col min="772" max="772" width="11.42578125" style="148" customWidth="1"/>
    <col min="773" max="1023" width="9.140625" style="148"/>
    <col min="1024" max="1024" width="5.85546875" style="148" customWidth="1"/>
    <col min="1025" max="1025" width="54.140625" style="148" customWidth="1"/>
    <col min="1026" max="1026" width="13.85546875" style="148" customWidth="1"/>
    <col min="1027" max="1027" width="10" style="148" customWidth="1"/>
    <col min="1028" max="1028" width="11.42578125" style="148" customWidth="1"/>
    <col min="1029" max="1279" width="9.140625" style="148"/>
    <col min="1280" max="1280" width="5.85546875" style="148" customWidth="1"/>
    <col min="1281" max="1281" width="54.140625" style="148" customWidth="1"/>
    <col min="1282" max="1282" width="13.85546875" style="148" customWidth="1"/>
    <col min="1283" max="1283" width="10" style="148" customWidth="1"/>
    <col min="1284" max="1284" width="11.42578125" style="148" customWidth="1"/>
    <col min="1285" max="1535" width="9.140625" style="148"/>
    <col min="1536" max="1536" width="5.85546875" style="148" customWidth="1"/>
    <col min="1537" max="1537" width="54.140625" style="148" customWidth="1"/>
    <col min="1538" max="1538" width="13.85546875" style="148" customWidth="1"/>
    <col min="1539" max="1539" width="10" style="148" customWidth="1"/>
    <col min="1540" max="1540" width="11.42578125" style="148" customWidth="1"/>
    <col min="1541" max="1791" width="9.140625" style="148"/>
    <col min="1792" max="1792" width="5.85546875" style="148" customWidth="1"/>
    <col min="1793" max="1793" width="54.140625" style="148" customWidth="1"/>
    <col min="1794" max="1794" width="13.85546875" style="148" customWidth="1"/>
    <col min="1795" max="1795" width="10" style="148" customWidth="1"/>
    <col min="1796" max="1796" width="11.42578125" style="148" customWidth="1"/>
    <col min="1797" max="2047" width="9.140625" style="148"/>
    <col min="2048" max="2048" width="5.85546875" style="148" customWidth="1"/>
    <col min="2049" max="2049" width="54.140625" style="148" customWidth="1"/>
    <col min="2050" max="2050" width="13.85546875" style="148" customWidth="1"/>
    <col min="2051" max="2051" width="10" style="148" customWidth="1"/>
    <col min="2052" max="2052" width="11.42578125" style="148" customWidth="1"/>
    <col min="2053" max="2303" width="9.140625" style="148"/>
    <col min="2304" max="2304" width="5.85546875" style="148" customWidth="1"/>
    <col min="2305" max="2305" width="54.140625" style="148" customWidth="1"/>
    <col min="2306" max="2306" width="13.85546875" style="148" customWidth="1"/>
    <col min="2307" max="2307" width="10" style="148" customWidth="1"/>
    <col min="2308" max="2308" width="11.42578125" style="148" customWidth="1"/>
    <col min="2309" max="2559" width="9.140625" style="148"/>
    <col min="2560" max="2560" width="5.85546875" style="148" customWidth="1"/>
    <col min="2561" max="2561" width="54.140625" style="148" customWidth="1"/>
    <col min="2562" max="2562" width="13.85546875" style="148" customWidth="1"/>
    <col min="2563" max="2563" width="10" style="148" customWidth="1"/>
    <col min="2564" max="2564" width="11.42578125" style="148" customWidth="1"/>
    <col min="2565" max="2815" width="9.140625" style="148"/>
    <col min="2816" max="2816" width="5.85546875" style="148" customWidth="1"/>
    <col min="2817" max="2817" width="54.140625" style="148" customWidth="1"/>
    <col min="2818" max="2818" width="13.85546875" style="148" customWidth="1"/>
    <col min="2819" max="2819" width="10" style="148" customWidth="1"/>
    <col min="2820" max="2820" width="11.42578125" style="148" customWidth="1"/>
    <col min="2821" max="3071" width="9.140625" style="148"/>
    <col min="3072" max="3072" width="5.85546875" style="148" customWidth="1"/>
    <col min="3073" max="3073" width="54.140625" style="148" customWidth="1"/>
    <col min="3074" max="3074" width="13.85546875" style="148" customWidth="1"/>
    <col min="3075" max="3075" width="10" style="148" customWidth="1"/>
    <col min="3076" max="3076" width="11.42578125" style="148" customWidth="1"/>
    <col min="3077" max="3327" width="9.140625" style="148"/>
    <col min="3328" max="3328" width="5.85546875" style="148" customWidth="1"/>
    <col min="3329" max="3329" width="54.140625" style="148" customWidth="1"/>
    <col min="3330" max="3330" width="13.85546875" style="148" customWidth="1"/>
    <col min="3331" max="3331" width="10" style="148" customWidth="1"/>
    <col min="3332" max="3332" width="11.42578125" style="148" customWidth="1"/>
    <col min="3333" max="3583" width="9.140625" style="148"/>
    <col min="3584" max="3584" width="5.85546875" style="148" customWidth="1"/>
    <col min="3585" max="3585" width="54.140625" style="148" customWidth="1"/>
    <col min="3586" max="3586" width="13.85546875" style="148" customWidth="1"/>
    <col min="3587" max="3587" width="10" style="148" customWidth="1"/>
    <col min="3588" max="3588" width="11.42578125" style="148" customWidth="1"/>
    <col min="3589" max="3839" width="9.140625" style="148"/>
    <col min="3840" max="3840" width="5.85546875" style="148" customWidth="1"/>
    <col min="3841" max="3841" width="54.140625" style="148" customWidth="1"/>
    <col min="3842" max="3842" width="13.85546875" style="148" customWidth="1"/>
    <col min="3843" max="3843" width="10" style="148" customWidth="1"/>
    <col min="3844" max="3844" width="11.42578125" style="148" customWidth="1"/>
    <col min="3845" max="4095" width="9.140625" style="148"/>
    <col min="4096" max="4096" width="5.85546875" style="148" customWidth="1"/>
    <col min="4097" max="4097" width="54.140625" style="148" customWidth="1"/>
    <col min="4098" max="4098" width="13.85546875" style="148" customWidth="1"/>
    <col min="4099" max="4099" width="10" style="148" customWidth="1"/>
    <col min="4100" max="4100" width="11.42578125" style="148" customWidth="1"/>
    <col min="4101" max="4351" width="9.140625" style="148"/>
    <col min="4352" max="4352" width="5.85546875" style="148" customWidth="1"/>
    <col min="4353" max="4353" width="54.140625" style="148" customWidth="1"/>
    <col min="4354" max="4354" width="13.85546875" style="148" customWidth="1"/>
    <col min="4355" max="4355" width="10" style="148" customWidth="1"/>
    <col min="4356" max="4356" width="11.42578125" style="148" customWidth="1"/>
    <col min="4357" max="4607" width="9.140625" style="148"/>
    <col min="4608" max="4608" width="5.85546875" style="148" customWidth="1"/>
    <col min="4609" max="4609" width="54.140625" style="148" customWidth="1"/>
    <col min="4610" max="4610" width="13.85546875" style="148" customWidth="1"/>
    <col min="4611" max="4611" width="10" style="148" customWidth="1"/>
    <col min="4612" max="4612" width="11.42578125" style="148" customWidth="1"/>
    <col min="4613" max="4863" width="9.140625" style="148"/>
    <col min="4864" max="4864" width="5.85546875" style="148" customWidth="1"/>
    <col min="4865" max="4865" width="54.140625" style="148" customWidth="1"/>
    <col min="4866" max="4866" width="13.85546875" style="148" customWidth="1"/>
    <col min="4867" max="4867" width="10" style="148" customWidth="1"/>
    <col min="4868" max="4868" width="11.42578125" style="148" customWidth="1"/>
    <col min="4869" max="5119" width="9.140625" style="148"/>
    <col min="5120" max="5120" width="5.85546875" style="148" customWidth="1"/>
    <col min="5121" max="5121" width="54.140625" style="148" customWidth="1"/>
    <col min="5122" max="5122" width="13.85546875" style="148" customWidth="1"/>
    <col min="5123" max="5123" width="10" style="148" customWidth="1"/>
    <col min="5124" max="5124" width="11.42578125" style="148" customWidth="1"/>
    <col min="5125" max="5375" width="9.140625" style="148"/>
    <col min="5376" max="5376" width="5.85546875" style="148" customWidth="1"/>
    <col min="5377" max="5377" width="54.140625" style="148" customWidth="1"/>
    <col min="5378" max="5378" width="13.85546875" style="148" customWidth="1"/>
    <col min="5379" max="5379" width="10" style="148" customWidth="1"/>
    <col min="5380" max="5380" width="11.42578125" style="148" customWidth="1"/>
    <col min="5381" max="5631" width="9.140625" style="148"/>
    <col min="5632" max="5632" width="5.85546875" style="148" customWidth="1"/>
    <col min="5633" max="5633" width="54.140625" style="148" customWidth="1"/>
    <col min="5634" max="5634" width="13.85546875" style="148" customWidth="1"/>
    <col min="5635" max="5635" width="10" style="148" customWidth="1"/>
    <col min="5636" max="5636" width="11.42578125" style="148" customWidth="1"/>
    <col min="5637" max="5887" width="9.140625" style="148"/>
    <col min="5888" max="5888" width="5.85546875" style="148" customWidth="1"/>
    <col min="5889" max="5889" width="54.140625" style="148" customWidth="1"/>
    <col min="5890" max="5890" width="13.85546875" style="148" customWidth="1"/>
    <col min="5891" max="5891" width="10" style="148" customWidth="1"/>
    <col min="5892" max="5892" width="11.42578125" style="148" customWidth="1"/>
    <col min="5893" max="6143" width="9.140625" style="148"/>
    <col min="6144" max="6144" width="5.85546875" style="148" customWidth="1"/>
    <col min="6145" max="6145" width="54.140625" style="148" customWidth="1"/>
    <col min="6146" max="6146" width="13.85546875" style="148" customWidth="1"/>
    <col min="6147" max="6147" width="10" style="148" customWidth="1"/>
    <col min="6148" max="6148" width="11.42578125" style="148" customWidth="1"/>
    <col min="6149" max="6399" width="9.140625" style="148"/>
    <col min="6400" max="6400" width="5.85546875" style="148" customWidth="1"/>
    <col min="6401" max="6401" width="54.140625" style="148" customWidth="1"/>
    <col min="6402" max="6402" width="13.85546875" style="148" customWidth="1"/>
    <col min="6403" max="6403" width="10" style="148" customWidth="1"/>
    <col min="6404" max="6404" width="11.42578125" style="148" customWidth="1"/>
    <col min="6405" max="6655" width="9.140625" style="148"/>
    <col min="6656" max="6656" width="5.85546875" style="148" customWidth="1"/>
    <col min="6657" max="6657" width="54.140625" style="148" customWidth="1"/>
    <col min="6658" max="6658" width="13.85546875" style="148" customWidth="1"/>
    <col min="6659" max="6659" width="10" style="148" customWidth="1"/>
    <col min="6660" max="6660" width="11.42578125" style="148" customWidth="1"/>
    <col min="6661" max="6911" width="9.140625" style="148"/>
    <col min="6912" max="6912" width="5.85546875" style="148" customWidth="1"/>
    <col min="6913" max="6913" width="54.140625" style="148" customWidth="1"/>
    <col min="6914" max="6914" width="13.85546875" style="148" customWidth="1"/>
    <col min="6915" max="6915" width="10" style="148" customWidth="1"/>
    <col min="6916" max="6916" width="11.42578125" style="148" customWidth="1"/>
    <col min="6917" max="7167" width="9.140625" style="148"/>
    <col min="7168" max="7168" width="5.85546875" style="148" customWidth="1"/>
    <col min="7169" max="7169" width="54.140625" style="148" customWidth="1"/>
    <col min="7170" max="7170" width="13.85546875" style="148" customWidth="1"/>
    <col min="7171" max="7171" width="10" style="148" customWidth="1"/>
    <col min="7172" max="7172" width="11.42578125" style="148" customWidth="1"/>
    <col min="7173" max="7423" width="9.140625" style="148"/>
    <col min="7424" max="7424" width="5.85546875" style="148" customWidth="1"/>
    <col min="7425" max="7425" width="54.140625" style="148" customWidth="1"/>
    <col min="7426" max="7426" width="13.85546875" style="148" customWidth="1"/>
    <col min="7427" max="7427" width="10" style="148" customWidth="1"/>
    <col min="7428" max="7428" width="11.42578125" style="148" customWidth="1"/>
    <col min="7429" max="7679" width="9.140625" style="148"/>
    <col min="7680" max="7680" width="5.85546875" style="148" customWidth="1"/>
    <col min="7681" max="7681" width="54.140625" style="148" customWidth="1"/>
    <col min="7682" max="7682" width="13.85546875" style="148" customWidth="1"/>
    <col min="7683" max="7683" width="10" style="148" customWidth="1"/>
    <col min="7684" max="7684" width="11.42578125" style="148" customWidth="1"/>
    <col min="7685" max="7935" width="9.140625" style="148"/>
    <col min="7936" max="7936" width="5.85546875" style="148" customWidth="1"/>
    <col min="7937" max="7937" width="54.140625" style="148" customWidth="1"/>
    <col min="7938" max="7938" width="13.85546875" style="148" customWidth="1"/>
    <col min="7939" max="7939" width="10" style="148" customWidth="1"/>
    <col min="7940" max="7940" width="11.42578125" style="148" customWidth="1"/>
    <col min="7941" max="8191" width="9.140625" style="148"/>
    <col min="8192" max="8192" width="5.85546875" style="148" customWidth="1"/>
    <col min="8193" max="8193" width="54.140625" style="148" customWidth="1"/>
    <col min="8194" max="8194" width="13.85546875" style="148" customWidth="1"/>
    <col min="8195" max="8195" width="10" style="148" customWidth="1"/>
    <col min="8196" max="8196" width="11.42578125" style="148" customWidth="1"/>
    <col min="8197" max="8447" width="9.140625" style="148"/>
    <col min="8448" max="8448" width="5.85546875" style="148" customWidth="1"/>
    <col min="8449" max="8449" width="54.140625" style="148" customWidth="1"/>
    <col min="8450" max="8450" width="13.85546875" style="148" customWidth="1"/>
    <col min="8451" max="8451" width="10" style="148" customWidth="1"/>
    <col min="8452" max="8452" width="11.42578125" style="148" customWidth="1"/>
    <col min="8453" max="8703" width="9.140625" style="148"/>
    <col min="8704" max="8704" width="5.85546875" style="148" customWidth="1"/>
    <col min="8705" max="8705" width="54.140625" style="148" customWidth="1"/>
    <col min="8706" max="8706" width="13.85546875" style="148" customWidth="1"/>
    <col min="8707" max="8707" width="10" style="148" customWidth="1"/>
    <col min="8708" max="8708" width="11.42578125" style="148" customWidth="1"/>
    <col min="8709" max="8959" width="9.140625" style="148"/>
    <col min="8960" max="8960" width="5.85546875" style="148" customWidth="1"/>
    <col min="8961" max="8961" width="54.140625" style="148" customWidth="1"/>
    <col min="8962" max="8962" width="13.85546875" style="148" customWidth="1"/>
    <col min="8963" max="8963" width="10" style="148" customWidth="1"/>
    <col min="8964" max="8964" width="11.42578125" style="148" customWidth="1"/>
    <col min="8965" max="9215" width="9.140625" style="148"/>
    <col min="9216" max="9216" width="5.85546875" style="148" customWidth="1"/>
    <col min="9217" max="9217" width="54.140625" style="148" customWidth="1"/>
    <col min="9218" max="9218" width="13.85546875" style="148" customWidth="1"/>
    <col min="9219" max="9219" width="10" style="148" customWidth="1"/>
    <col min="9220" max="9220" width="11.42578125" style="148" customWidth="1"/>
    <col min="9221" max="9471" width="9.140625" style="148"/>
    <col min="9472" max="9472" width="5.85546875" style="148" customWidth="1"/>
    <col min="9473" max="9473" width="54.140625" style="148" customWidth="1"/>
    <col min="9474" max="9474" width="13.85546875" style="148" customWidth="1"/>
    <col min="9475" max="9475" width="10" style="148" customWidth="1"/>
    <col min="9476" max="9476" width="11.42578125" style="148" customWidth="1"/>
    <col min="9477" max="9727" width="9.140625" style="148"/>
    <col min="9728" max="9728" width="5.85546875" style="148" customWidth="1"/>
    <col min="9729" max="9729" width="54.140625" style="148" customWidth="1"/>
    <col min="9730" max="9730" width="13.85546875" style="148" customWidth="1"/>
    <col min="9731" max="9731" width="10" style="148" customWidth="1"/>
    <col min="9732" max="9732" width="11.42578125" style="148" customWidth="1"/>
    <col min="9733" max="9983" width="9.140625" style="148"/>
    <col min="9984" max="9984" width="5.85546875" style="148" customWidth="1"/>
    <col min="9985" max="9985" width="54.140625" style="148" customWidth="1"/>
    <col min="9986" max="9986" width="13.85546875" style="148" customWidth="1"/>
    <col min="9987" max="9987" width="10" style="148" customWidth="1"/>
    <col min="9988" max="9988" width="11.42578125" style="148" customWidth="1"/>
    <col min="9989" max="10239" width="9.140625" style="148"/>
    <col min="10240" max="10240" width="5.85546875" style="148" customWidth="1"/>
    <col min="10241" max="10241" width="54.140625" style="148" customWidth="1"/>
    <col min="10242" max="10242" width="13.85546875" style="148" customWidth="1"/>
    <col min="10243" max="10243" width="10" style="148" customWidth="1"/>
    <col min="10244" max="10244" width="11.42578125" style="148" customWidth="1"/>
    <col min="10245" max="10495" width="9.140625" style="148"/>
    <col min="10496" max="10496" width="5.85546875" style="148" customWidth="1"/>
    <col min="10497" max="10497" width="54.140625" style="148" customWidth="1"/>
    <col min="10498" max="10498" width="13.85546875" style="148" customWidth="1"/>
    <col min="10499" max="10499" width="10" style="148" customWidth="1"/>
    <col min="10500" max="10500" width="11.42578125" style="148" customWidth="1"/>
    <col min="10501" max="10751" width="9.140625" style="148"/>
    <col min="10752" max="10752" width="5.85546875" style="148" customWidth="1"/>
    <col min="10753" max="10753" width="54.140625" style="148" customWidth="1"/>
    <col min="10754" max="10754" width="13.85546875" style="148" customWidth="1"/>
    <col min="10755" max="10755" width="10" style="148" customWidth="1"/>
    <col min="10756" max="10756" width="11.42578125" style="148" customWidth="1"/>
    <col min="10757" max="11007" width="9.140625" style="148"/>
    <col min="11008" max="11008" width="5.85546875" style="148" customWidth="1"/>
    <col min="11009" max="11009" width="54.140625" style="148" customWidth="1"/>
    <col min="11010" max="11010" width="13.85546875" style="148" customWidth="1"/>
    <col min="11011" max="11011" width="10" style="148" customWidth="1"/>
    <col min="11012" max="11012" width="11.42578125" style="148" customWidth="1"/>
    <col min="11013" max="11263" width="9.140625" style="148"/>
    <col min="11264" max="11264" width="5.85546875" style="148" customWidth="1"/>
    <col min="11265" max="11265" width="54.140625" style="148" customWidth="1"/>
    <col min="11266" max="11266" width="13.85546875" style="148" customWidth="1"/>
    <col min="11267" max="11267" width="10" style="148" customWidth="1"/>
    <col min="11268" max="11268" width="11.42578125" style="148" customWidth="1"/>
    <col min="11269" max="11519" width="9.140625" style="148"/>
    <col min="11520" max="11520" width="5.85546875" style="148" customWidth="1"/>
    <col min="11521" max="11521" width="54.140625" style="148" customWidth="1"/>
    <col min="11522" max="11522" width="13.85546875" style="148" customWidth="1"/>
    <col min="11523" max="11523" width="10" style="148" customWidth="1"/>
    <col min="11524" max="11524" width="11.42578125" style="148" customWidth="1"/>
    <col min="11525" max="11775" width="9.140625" style="148"/>
    <col min="11776" max="11776" width="5.85546875" style="148" customWidth="1"/>
    <col min="11777" max="11777" width="54.140625" style="148" customWidth="1"/>
    <col min="11778" max="11778" width="13.85546875" style="148" customWidth="1"/>
    <col min="11779" max="11779" width="10" style="148" customWidth="1"/>
    <col min="11780" max="11780" width="11.42578125" style="148" customWidth="1"/>
    <col min="11781" max="12031" width="9.140625" style="148"/>
    <col min="12032" max="12032" width="5.85546875" style="148" customWidth="1"/>
    <col min="12033" max="12033" width="54.140625" style="148" customWidth="1"/>
    <col min="12034" max="12034" width="13.85546875" style="148" customWidth="1"/>
    <col min="12035" max="12035" width="10" style="148" customWidth="1"/>
    <col min="12036" max="12036" width="11.42578125" style="148" customWidth="1"/>
    <col min="12037" max="12287" width="9.140625" style="148"/>
    <col min="12288" max="12288" width="5.85546875" style="148" customWidth="1"/>
    <col min="12289" max="12289" width="54.140625" style="148" customWidth="1"/>
    <col min="12290" max="12290" width="13.85546875" style="148" customWidth="1"/>
    <col min="12291" max="12291" width="10" style="148" customWidth="1"/>
    <col min="12292" max="12292" width="11.42578125" style="148" customWidth="1"/>
    <col min="12293" max="12543" width="9.140625" style="148"/>
    <col min="12544" max="12544" width="5.85546875" style="148" customWidth="1"/>
    <col min="12545" max="12545" width="54.140625" style="148" customWidth="1"/>
    <col min="12546" max="12546" width="13.85546875" style="148" customWidth="1"/>
    <col min="12547" max="12547" width="10" style="148" customWidth="1"/>
    <col min="12548" max="12548" width="11.42578125" style="148" customWidth="1"/>
    <col min="12549" max="12799" width="9.140625" style="148"/>
    <col min="12800" max="12800" width="5.85546875" style="148" customWidth="1"/>
    <col min="12801" max="12801" width="54.140625" style="148" customWidth="1"/>
    <col min="12802" max="12802" width="13.85546875" style="148" customWidth="1"/>
    <col min="12803" max="12803" width="10" style="148" customWidth="1"/>
    <col min="12804" max="12804" width="11.42578125" style="148" customWidth="1"/>
    <col min="12805" max="13055" width="9.140625" style="148"/>
    <col min="13056" max="13056" width="5.85546875" style="148" customWidth="1"/>
    <col min="13057" max="13057" width="54.140625" style="148" customWidth="1"/>
    <col min="13058" max="13058" width="13.85546875" style="148" customWidth="1"/>
    <col min="13059" max="13059" width="10" style="148" customWidth="1"/>
    <col min="13060" max="13060" width="11.42578125" style="148" customWidth="1"/>
    <col min="13061" max="13311" width="9.140625" style="148"/>
    <col min="13312" max="13312" width="5.85546875" style="148" customWidth="1"/>
    <col min="13313" max="13313" width="54.140625" style="148" customWidth="1"/>
    <col min="13314" max="13314" width="13.85546875" style="148" customWidth="1"/>
    <col min="13315" max="13315" width="10" style="148" customWidth="1"/>
    <col min="13316" max="13316" width="11.42578125" style="148" customWidth="1"/>
    <col min="13317" max="13567" width="9.140625" style="148"/>
    <col min="13568" max="13568" width="5.85546875" style="148" customWidth="1"/>
    <col min="13569" max="13569" width="54.140625" style="148" customWidth="1"/>
    <col min="13570" max="13570" width="13.85546875" style="148" customWidth="1"/>
    <col min="13571" max="13571" width="10" style="148" customWidth="1"/>
    <col min="13572" max="13572" width="11.42578125" style="148" customWidth="1"/>
    <col min="13573" max="13823" width="9.140625" style="148"/>
    <col min="13824" max="13824" width="5.85546875" style="148" customWidth="1"/>
    <col min="13825" max="13825" width="54.140625" style="148" customWidth="1"/>
    <col min="13826" max="13826" width="13.85546875" style="148" customWidth="1"/>
    <col min="13827" max="13827" width="10" style="148" customWidth="1"/>
    <col min="13828" max="13828" width="11.42578125" style="148" customWidth="1"/>
    <col min="13829" max="14079" width="9.140625" style="148"/>
    <col min="14080" max="14080" width="5.85546875" style="148" customWidth="1"/>
    <col min="14081" max="14081" width="54.140625" style="148" customWidth="1"/>
    <col min="14082" max="14082" width="13.85546875" style="148" customWidth="1"/>
    <col min="14083" max="14083" width="10" style="148" customWidth="1"/>
    <col min="14084" max="14084" width="11.42578125" style="148" customWidth="1"/>
    <col min="14085" max="14335" width="9.140625" style="148"/>
    <col min="14336" max="14336" width="5.85546875" style="148" customWidth="1"/>
    <col min="14337" max="14337" width="54.140625" style="148" customWidth="1"/>
    <col min="14338" max="14338" width="13.85546875" style="148" customWidth="1"/>
    <col min="14339" max="14339" width="10" style="148" customWidth="1"/>
    <col min="14340" max="14340" width="11.42578125" style="148" customWidth="1"/>
    <col min="14341" max="14591" width="9.140625" style="148"/>
    <col min="14592" max="14592" width="5.85546875" style="148" customWidth="1"/>
    <col min="14593" max="14593" width="54.140625" style="148" customWidth="1"/>
    <col min="14594" max="14594" width="13.85546875" style="148" customWidth="1"/>
    <col min="14595" max="14595" width="10" style="148" customWidth="1"/>
    <col min="14596" max="14596" width="11.42578125" style="148" customWidth="1"/>
    <col min="14597" max="14847" width="9.140625" style="148"/>
    <col min="14848" max="14848" width="5.85546875" style="148" customWidth="1"/>
    <col min="14849" max="14849" width="54.140625" style="148" customWidth="1"/>
    <col min="14850" max="14850" width="13.85546875" style="148" customWidth="1"/>
    <col min="14851" max="14851" width="10" style="148" customWidth="1"/>
    <col min="14852" max="14852" width="11.42578125" style="148" customWidth="1"/>
    <col min="14853" max="15103" width="9.140625" style="148"/>
    <col min="15104" max="15104" width="5.85546875" style="148" customWidth="1"/>
    <col min="15105" max="15105" width="54.140625" style="148" customWidth="1"/>
    <col min="15106" max="15106" width="13.85546875" style="148" customWidth="1"/>
    <col min="15107" max="15107" width="10" style="148" customWidth="1"/>
    <col min="15108" max="15108" width="11.42578125" style="148" customWidth="1"/>
    <col min="15109" max="15359" width="9.140625" style="148"/>
    <col min="15360" max="15360" width="5.85546875" style="148" customWidth="1"/>
    <col min="15361" max="15361" width="54.140625" style="148" customWidth="1"/>
    <col min="15362" max="15362" width="13.85546875" style="148" customWidth="1"/>
    <col min="15363" max="15363" width="10" style="148" customWidth="1"/>
    <col min="15364" max="15364" width="11.42578125" style="148" customWidth="1"/>
    <col min="15365" max="15615" width="9.140625" style="148"/>
    <col min="15616" max="15616" width="5.85546875" style="148" customWidth="1"/>
    <col min="15617" max="15617" width="54.140625" style="148" customWidth="1"/>
    <col min="15618" max="15618" width="13.85546875" style="148" customWidth="1"/>
    <col min="15619" max="15619" width="10" style="148" customWidth="1"/>
    <col min="15620" max="15620" width="11.42578125" style="148" customWidth="1"/>
    <col min="15621" max="15871" width="9.140625" style="148"/>
    <col min="15872" max="15872" width="5.85546875" style="148" customWidth="1"/>
    <col min="15873" max="15873" width="54.140625" style="148" customWidth="1"/>
    <col min="15874" max="15874" width="13.85546875" style="148" customWidth="1"/>
    <col min="15875" max="15875" width="10" style="148" customWidth="1"/>
    <col min="15876" max="15876" width="11.42578125" style="148" customWidth="1"/>
    <col min="15877" max="16127" width="9.140625" style="148"/>
    <col min="16128" max="16128" width="5.85546875" style="148" customWidth="1"/>
    <col min="16129" max="16129" width="54.140625" style="148" customWidth="1"/>
    <col min="16130" max="16130" width="13.85546875" style="148" customWidth="1"/>
    <col min="16131" max="16131" width="10" style="148" customWidth="1"/>
    <col min="16132" max="16132" width="11.42578125" style="148" customWidth="1"/>
    <col min="16133" max="16384" width="9.140625" style="148"/>
  </cols>
  <sheetData>
    <row r="1" spans="1:10" ht="19.5" customHeight="1" x14ac:dyDescent="0.25">
      <c r="C1" s="938" t="s">
        <v>203</v>
      </c>
    </row>
    <row r="2" spans="1:10" s="143" customFormat="1" ht="43.5" customHeight="1" thickBot="1" x14ac:dyDescent="0.35">
      <c r="A2" s="934" t="s">
        <v>731</v>
      </c>
      <c r="B2" s="934"/>
      <c r="C2" s="934"/>
      <c r="D2" s="334"/>
      <c r="E2" s="354"/>
      <c r="F2" s="355"/>
    </row>
    <row r="3" spans="1:10" s="144" customFormat="1" ht="16.5" thickBot="1" x14ac:dyDescent="0.3">
      <c r="A3" s="170" t="s">
        <v>102</v>
      </c>
      <c r="B3" s="307" t="s">
        <v>103</v>
      </c>
      <c r="C3" s="308" t="s">
        <v>732</v>
      </c>
      <c r="D3" s="356"/>
      <c r="E3" s="356"/>
      <c r="F3" s="352"/>
      <c r="G3" s="354"/>
      <c r="I3" s="344"/>
      <c r="J3" s="345"/>
    </row>
    <row r="4" spans="1:10" s="146" customFormat="1" ht="16.5" thickTop="1" x14ac:dyDescent="0.25">
      <c r="A4" s="145">
        <v>1</v>
      </c>
      <c r="B4" s="309" t="s">
        <v>104</v>
      </c>
      <c r="C4" s="310">
        <v>1684007</v>
      </c>
      <c r="D4" s="471"/>
      <c r="E4" s="154"/>
      <c r="F4" s="357"/>
      <c r="G4" s="195"/>
      <c r="I4" s="344"/>
      <c r="J4" s="345"/>
    </row>
    <row r="5" spans="1:10" s="146" customFormat="1" ht="15.75" x14ac:dyDescent="0.25">
      <c r="A5" s="145">
        <v>2</v>
      </c>
      <c r="B5" s="21" t="s">
        <v>105</v>
      </c>
      <c r="C5" s="17">
        <v>9572</v>
      </c>
      <c r="D5" s="471"/>
      <c r="E5" s="154"/>
      <c r="F5" s="357"/>
      <c r="G5" s="195"/>
      <c r="I5" s="344"/>
      <c r="J5" s="345"/>
    </row>
    <row r="6" spans="1:10" s="146" customFormat="1" ht="15.75" x14ac:dyDescent="0.25">
      <c r="A6" s="145">
        <v>3</v>
      </c>
      <c r="B6" s="21" t="s">
        <v>106</v>
      </c>
      <c r="C6" s="17">
        <v>36819</v>
      </c>
      <c r="D6" s="471"/>
      <c r="E6" s="154"/>
      <c r="F6" s="357"/>
      <c r="G6" s="195"/>
      <c r="I6" s="344"/>
      <c r="J6" s="345"/>
    </row>
    <row r="7" spans="1:10" s="146" customFormat="1" ht="31.5" x14ac:dyDescent="0.25">
      <c r="A7" s="145">
        <v>4</v>
      </c>
      <c r="B7" s="21" t="s">
        <v>107</v>
      </c>
      <c r="C7" s="17">
        <v>21650</v>
      </c>
      <c r="D7" s="471"/>
      <c r="E7" s="154"/>
      <c r="F7" s="357"/>
      <c r="G7" s="195"/>
      <c r="I7" s="346"/>
      <c r="J7" s="345"/>
    </row>
    <row r="8" spans="1:10" s="146" customFormat="1" ht="19.5" customHeight="1" x14ac:dyDescent="0.25">
      <c r="A8" s="145">
        <v>5</v>
      </c>
      <c r="B8" s="21" t="s">
        <v>182</v>
      </c>
      <c r="C8" s="164">
        <v>256214</v>
      </c>
      <c r="D8" s="471"/>
      <c r="E8" s="353"/>
      <c r="F8" s="357"/>
      <c r="G8" s="335"/>
      <c r="I8" s="344"/>
      <c r="J8" s="345"/>
    </row>
    <row r="9" spans="1:10" s="146" customFormat="1" ht="15.75" x14ac:dyDescent="0.25">
      <c r="A9" s="145">
        <v>6</v>
      </c>
      <c r="B9" s="21" t="s">
        <v>93</v>
      </c>
      <c r="C9" s="17">
        <v>20000</v>
      </c>
      <c r="D9" s="471"/>
      <c r="E9" s="154"/>
      <c r="F9" s="357"/>
      <c r="G9" s="195"/>
      <c r="I9" s="344"/>
      <c r="J9" s="345"/>
    </row>
    <row r="10" spans="1:10" s="146" customFormat="1" ht="15.75" x14ac:dyDescent="0.25">
      <c r="A10" s="145">
        <v>7</v>
      </c>
      <c r="B10" s="21" t="s">
        <v>113</v>
      </c>
      <c r="C10" s="17">
        <v>700</v>
      </c>
      <c r="D10" s="471"/>
      <c r="E10" s="154"/>
      <c r="F10" s="357"/>
      <c r="G10" s="195"/>
      <c r="I10" s="344"/>
      <c r="J10" s="345"/>
    </row>
    <row r="11" spans="1:10" s="146" customFormat="1" ht="31.5" x14ac:dyDescent="0.25">
      <c r="A11" s="145">
        <v>8</v>
      </c>
      <c r="B11" s="311" t="s">
        <v>183</v>
      </c>
      <c r="C11" s="17">
        <v>101853</v>
      </c>
      <c r="D11" s="471"/>
      <c r="E11" s="154"/>
      <c r="F11" s="357"/>
      <c r="G11" s="195"/>
      <c r="I11" s="344"/>
      <c r="J11" s="345"/>
    </row>
    <row r="12" spans="1:10" s="146" customFormat="1" ht="31.5" x14ac:dyDescent="0.25">
      <c r="A12" s="145">
        <v>9</v>
      </c>
      <c r="B12" s="21" t="s">
        <v>116</v>
      </c>
      <c r="C12" s="17">
        <v>42155</v>
      </c>
      <c r="D12" s="471"/>
      <c r="E12" s="154"/>
      <c r="F12" s="357"/>
      <c r="G12" s="195"/>
      <c r="I12" s="344"/>
      <c r="J12" s="345"/>
    </row>
    <row r="13" spans="1:10" s="146" customFormat="1" ht="31.5" x14ac:dyDescent="0.25">
      <c r="A13" s="145">
        <v>10</v>
      </c>
      <c r="B13" s="311" t="s">
        <v>235</v>
      </c>
      <c r="C13" s="17">
        <v>5282</v>
      </c>
      <c r="D13" s="471"/>
      <c r="E13" s="154"/>
      <c r="F13" s="357"/>
      <c r="G13" s="195"/>
      <c r="I13" s="344"/>
      <c r="J13" s="345"/>
    </row>
    <row r="14" spans="1:10" s="146" customFormat="1" ht="15.75" x14ac:dyDescent="0.25">
      <c r="A14" s="145">
        <v>11</v>
      </c>
      <c r="B14" s="312" t="s">
        <v>115</v>
      </c>
      <c r="C14" s="17">
        <v>70000</v>
      </c>
      <c r="D14" s="471"/>
      <c r="E14" s="353"/>
      <c r="F14" s="357"/>
      <c r="G14" s="335"/>
      <c r="I14" s="344"/>
      <c r="J14" s="345"/>
    </row>
    <row r="15" spans="1:10" s="146" customFormat="1" ht="19.5" customHeight="1" thickBot="1" x14ac:dyDescent="0.3">
      <c r="A15" s="145">
        <v>12</v>
      </c>
      <c r="B15" s="313" t="s">
        <v>184</v>
      </c>
      <c r="C15" s="198">
        <v>7178</v>
      </c>
      <c r="D15" s="471"/>
      <c r="E15" s="154"/>
      <c r="F15" s="357"/>
      <c r="G15" s="195"/>
      <c r="I15" s="344"/>
      <c r="J15" s="345"/>
    </row>
    <row r="16" spans="1:10" s="146" customFormat="1" ht="16.5" thickBot="1" x14ac:dyDescent="0.3">
      <c r="A16" s="171"/>
      <c r="B16" s="314" t="s">
        <v>129</v>
      </c>
      <c r="C16" s="172">
        <f>SUM(C4:C15)</f>
        <v>2255430</v>
      </c>
      <c r="D16" s="472"/>
      <c r="E16" s="154"/>
      <c r="F16" s="154"/>
      <c r="G16" s="357"/>
    </row>
    <row r="17" spans="1:7" s="146" customFormat="1" ht="15.75" x14ac:dyDescent="0.25">
      <c r="A17" s="147"/>
      <c r="B17" s="168"/>
      <c r="C17" s="169"/>
      <c r="D17" s="169"/>
      <c r="E17" s="169"/>
      <c r="F17" s="358"/>
      <c r="G17" s="358"/>
    </row>
    <row r="18" spans="1:7" s="151" customFormat="1" ht="11.25" hidden="1" customHeight="1" x14ac:dyDescent="0.2">
      <c r="A18" s="148"/>
      <c r="B18" s="152"/>
      <c r="C18" s="148"/>
      <c r="D18" s="148"/>
      <c r="E18" s="148"/>
    </row>
    <row r="19" spans="1:7" s="150" customFormat="1" ht="12" thickBot="1" x14ac:dyDescent="0.25">
      <c r="A19" s="148"/>
      <c r="B19" s="152"/>
      <c r="C19" s="148"/>
      <c r="D19" s="148"/>
      <c r="E19" s="148"/>
    </row>
    <row r="20" spans="1:7" s="150" customFormat="1" ht="12" hidden="1" thickBot="1" x14ac:dyDescent="0.25">
      <c r="A20" s="148"/>
      <c r="B20" s="152"/>
      <c r="C20" s="148"/>
      <c r="D20" s="148"/>
      <c r="E20" s="148"/>
    </row>
    <row r="21" spans="1:7" s="150" customFormat="1" ht="16.5" thickBot="1" x14ac:dyDescent="0.3">
      <c r="A21" s="319" t="s">
        <v>102</v>
      </c>
      <c r="B21" s="320" t="s">
        <v>103</v>
      </c>
      <c r="C21" s="308" t="s">
        <v>732</v>
      </c>
      <c r="D21" s="356"/>
      <c r="E21" s="148"/>
    </row>
    <row r="22" spans="1:7" ht="31.5" x14ac:dyDescent="0.25">
      <c r="A22" s="318">
        <v>1</v>
      </c>
      <c r="B22" s="163" t="s">
        <v>321</v>
      </c>
      <c r="C22" s="734">
        <v>1148816</v>
      </c>
      <c r="D22" s="471"/>
      <c r="E22" s="359"/>
    </row>
    <row r="23" spans="1:7" ht="31.5" x14ac:dyDescent="0.25">
      <c r="A23" s="317">
        <v>2</v>
      </c>
      <c r="B23" s="139" t="s">
        <v>322</v>
      </c>
      <c r="C23" s="774">
        <f>452589+11508</f>
        <v>464097</v>
      </c>
      <c r="D23" s="471"/>
    </row>
    <row r="24" spans="1:7" ht="32.25" thickBot="1" x14ac:dyDescent="0.3">
      <c r="A24" s="321">
        <v>3</v>
      </c>
      <c r="B24" s="322" t="s">
        <v>323</v>
      </c>
      <c r="C24" s="707">
        <v>432005</v>
      </c>
      <c r="D24" s="471"/>
      <c r="E24" s="359"/>
    </row>
    <row r="25" spans="1:7" ht="16.5" thickBot="1" x14ac:dyDescent="0.3">
      <c r="A25" s="323"/>
      <c r="B25" s="324" t="s">
        <v>261</v>
      </c>
      <c r="C25" s="172">
        <f>SUM(C22:C24)</f>
        <v>2044918</v>
      </c>
      <c r="D25" s="472"/>
    </row>
    <row r="28" spans="1:7" ht="15.75" x14ac:dyDescent="0.25">
      <c r="B28" s="138" t="s">
        <v>941</v>
      </c>
      <c r="C28" s="10"/>
      <c r="D28" s="10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zoomScaleNormal="100" workbookViewId="0">
      <selection activeCell="Q17" sqref="Q17"/>
    </sheetView>
  </sheetViews>
  <sheetFormatPr defaultRowHeight="11.25" x14ac:dyDescent="0.2"/>
  <cols>
    <col min="1" max="1" width="5.85546875" style="775" customWidth="1"/>
    <col min="2" max="2" width="54.140625" style="819" customWidth="1"/>
    <col min="3" max="3" width="13.85546875" style="775" customWidth="1"/>
    <col min="4" max="4" width="10.140625" style="775" customWidth="1"/>
    <col min="5" max="5" width="9.5703125" style="775" customWidth="1"/>
    <col min="6" max="6" width="8.140625" style="775" customWidth="1"/>
    <col min="7" max="8" width="9" style="775" customWidth="1"/>
    <col min="9" max="9" width="9.5703125" style="775" customWidth="1"/>
    <col min="10" max="13" width="9.140625" style="775"/>
    <col min="14" max="14" width="8.5703125" style="775" customWidth="1"/>
    <col min="15" max="256" width="9.140625" style="775"/>
    <col min="257" max="257" width="5.85546875" style="775" customWidth="1"/>
    <col min="258" max="258" width="54.140625" style="775" customWidth="1"/>
    <col min="259" max="259" width="13.85546875" style="775" customWidth="1"/>
    <col min="260" max="260" width="10" style="775" customWidth="1"/>
    <col min="261" max="261" width="10.140625" style="775" customWidth="1"/>
    <col min="262" max="264" width="9.140625" style="775"/>
    <col min="265" max="265" width="9.140625" style="775" customWidth="1"/>
    <col min="266" max="512" width="9.140625" style="775"/>
    <col min="513" max="513" width="5.85546875" style="775" customWidth="1"/>
    <col min="514" max="514" width="54.140625" style="775" customWidth="1"/>
    <col min="515" max="515" width="13.85546875" style="775" customWidth="1"/>
    <col min="516" max="516" width="10" style="775" customWidth="1"/>
    <col min="517" max="517" width="10.140625" style="775" customWidth="1"/>
    <col min="518" max="520" width="9.140625" style="775"/>
    <col min="521" max="521" width="9.140625" style="775" customWidth="1"/>
    <col min="522" max="768" width="9.140625" style="775"/>
    <col min="769" max="769" width="5.85546875" style="775" customWidth="1"/>
    <col min="770" max="770" width="54.140625" style="775" customWidth="1"/>
    <col min="771" max="771" width="13.85546875" style="775" customWidth="1"/>
    <col min="772" max="772" width="10" style="775" customWidth="1"/>
    <col min="773" max="773" width="10.140625" style="775" customWidth="1"/>
    <col min="774" max="776" width="9.140625" style="775"/>
    <col min="777" max="777" width="9.140625" style="775" customWidth="1"/>
    <col min="778" max="1024" width="9.140625" style="775"/>
    <col min="1025" max="1025" width="5.85546875" style="775" customWidth="1"/>
    <col min="1026" max="1026" width="54.140625" style="775" customWidth="1"/>
    <col min="1027" max="1027" width="13.85546875" style="775" customWidth="1"/>
    <col min="1028" max="1028" width="10" style="775" customWidth="1"/>
    <col min="1029" max="1029" width="10.140625" style="775" customWidth="1"/>
    <col min="1030" max="1032" width="9.140625" style="775"/>
    <col min="1033" max="1033" width="9.140625" style="775" customWidth="1"/>
    <col min="1034" max="1280" width="9.140625" style="775"/>
    <col min="1281" max="1281" width="5.85546875" style="775" customWidth="1"/>
    <col min="1282" max="1282" width="54.140625" style="775" customWidth="1"/>
    <col min="1283" max="1283" width="13.85546875" style="775" customWidth="1"/>
    <col min="1284" max="1284" width="10" style="775" customWidth="1"/>
    <col min="1285" max="1285" width="10.140625" style="775" customWidth="1"/>
    <col min="1286" max="1288" width="9.140625" style="775"/>
    <col min="1289" max="1289" width="9.140625" style="775" customWidth="1"/>
    <col min="1290" max="1536" width="9.140625" style="775"/>
    <col min="1537" max="1537" width="5.85546875" style="775" customWidth="1"/>
    <col min="1538" max="1538" width="54.140625" style="775" customWidth="1"/>
    <col min="1539" max="1539" width="13.85546875" style="775" customWidth="1"/>
    <col min="1540" max="1540" width="10" style="775" customWidth="1"/>
    <col min="1541" max="1541" width="10.140625" style="775" customWidth="1"/>
    <col min="1542" max="1544" width="9.140625" style="775"/>
    <col min="1545" max="1545" width="9.140625" style="775" customWidth="1"/>
    <col min="1546" max="1792" width="9.140625" style="775"/>
    <col min="1793" max="1793" width="5.85546875" style="775" customWidth="1"/>
    <col min="1794" max="1794" width="54.140625" style="775" customWidth="1"/>
    <col min="1795" max="1795" width="13.85546875" style="775" customWidth="1"/>
    <col min="1796" max="1796" width="10" style="775" customWidth="1"/>
    <col min="1797" max="1797" width="10.140625" style="775" customWidth="1"/>
    <col min="1798" max="1800" width="9.140625" style="775"/>
    <col min="1801" max="1801" width="9.140625" style="775" customWidth="1"/>
    <col min="1802" max="2048" width="9.140625" style="775"/>
    <col min="2049" max="2049" width="5.85546875" style="775" customWidth="1"/>
    <col min="2050" max="2050" width="54.140625" style="775" customWidth="1"/>
    <col min="2051" max="2051" width="13.85546875" style="775" customWidth="1"/>
    <col min="2052" max="2052" width="10" style="775" customWidth="1"/>
    <col min="2053" max="2053" width="10.140625" style="775" customWidth="1"/>
    <col min="2054" max="2056" width="9.140625" style="775"/>
    <col min="2057" max="2057" width="9.140625" style="775" customWidth="1"/>
    <col min="2058" max="2304" width="9.140625" style="775"/>
    <col min="2305" max="2305" width="5.85546875" style="775" customWidth="1"/>
    <col min="2306" max="2306" width="54.140625" style="775" customWidth="1"/>
    <col min="2307" max="2307" width="13.85546875" style="775" customWidth="1"/>
    <col min="2308" max="2308" width="10" style="775" customWidth="1"/>
    <col min="2309" max="2309" width="10.140625" style="775" customWidth="1"/>
    <col min="2310" max="2312" width="9.140625" style="775"/>
    <col min="2313" max="2313" width="9.140625" style="775" customWidth="1"/>
    <col min="2314" max="2560" width="9.140625" style="775"/>
    <col min="2561" max="2561" width="5.85546875" style="775" customWidth="1"/>
    <col min="2562" max="2562" width="54.140625" style="775" customWidth="1"/>
    <col min="2563" max="2563" width="13.85546875" style="775" customWidth="1"/>
    <col min="2564" max="2564" width="10" style="775" customWidth="1"/>
    <col min="2565" max="2565" width="10.140625" style="775" customWidth="1"/>
    <col min="2566" max="2568" width="9.140625" style="775"/>
    <col min="2569" max="2569" width="9.140625" style="775" customWidth="1"/>
    <col min="2570" max="2816" width="9.140625" style="775"/>
    <col min="2817" max="2817" width="5.85546875" style="775" customWidth="1"/>
    <col min="2818" max="2818" width="54.140625" style="775" customWidth="1"/>
    <col min="2819" max="2819" width="13.85546875" style="775" customWidth="1"/>
    <col min="2820" max="2820" width="10" style="775" customWidth="1"/>
    <col min="2821" max="2821" width="10.140625" style="775" customWidth="1"/>
    <col min="2822" max="2824" width="9.140625" style="775"/>
    <col min="2825" max="2825" width="9.140625" style="775" customWidth="1"/>
    <col min="2826" max="3072" width="9.140625" style="775"/>
    <col min="3073" max="3073" width="5.85546875" style="775" customWidth="1"/>
    <col min="3074" max="3074" width="54.140625" style="775" customWidth="1"/>
    <col min="3075" max="3075" width="13.85546875" style="775" customWidth="1"/>
    <col min="3076" max="3076" width="10" style="775" customWidth="1"/>
    <col min="3077" max="3077" width="10.140625" style="775" customWidth="1"/>
    <col min="3078" max="3080" width="9.140625" style="775"/>
    <col min="3081" max="3081" width="9.140625" style="775" customWidth="1"/>
    <col min="3082" max="3328" width="9.140625" style="775"/>
    <col min="3329" max="3329" width="5.85546875" style="775" customWidth="1"/>
    <col min="3330" max="3330" width="54.140625" style="775" customWidth="1"/>
    <col min="3331" max="3331" width="13.85546875" style="775" customWidth="1"/>
    <col min="3332" max="3332" width="10" style="775" customWidth="1"/>
    <col min="3333" max="3333" width="10.140625" style="775" customWidth="1"/>
    <col min="3334" max="3336" width="9.140625" style="775"/>
    <col min="3337" max="3337" width="9.140625" style="775" customWidth="1"/>
    <col min="3338" max="3584" width="9.140625" style="775"/>
    <col min="3585" max="3585" width="5.85546875" style="775" customWidth="1"/>
    <col min="3586" max="3586" width="54.140625" style="775" customWidth="1"/>
    <col min="3587" max="3587" width="13.85546875" style="775" customWidth="1"/>
    <col min="3588" max="3588" width="10" style="775" customWidth="1"/>
    <col min="3589" max="3589" width="10.140625" style="775" customWidth="1"/>
    <col min="3590" max="3592" width="9.140625" style="775"/>
    <col min="3593" max="3593" width="9.140625" style="775" customWidth="1"/>
    <col min="3594" max="3840" width="9.140625" style="775"/>
    <col min="3841" max="3841" width="5.85546875" style="775" customWidth="1"/>
    <col min="3842" max="3842" width="54.140625" style="775" customWidth="1"/>
    <col min="3843" max="3843" width="13.85546875" style="775" customWidth="1"/>
    <col min="3844" max="3844" width="10" style="775" customWidth="1"/>
    <col min="3845" max="3845" width="10.140625" style="775" customWidth="1"/>
    <col min="3846" max="3848" width="9.140625" style="775"/>
    <col min="3849" max="3849" width="9.140625" style="775" customWidth="1"/>
    <col min="3850" max="4096" width="9.140625" style="775"/>
    <col min="4097" max="4097" width="5.85546875" style="775" customWidth="1"/>
    <col min="4098" max="4098" width="54.140625" style="775" customWidth="1"/>
    <col min="4099" max="4099" width="13.85546875" style="775" customWidth="1"/>
    <col min="4100" max="4100" width="10" style="775" customWidth="1"/>
    <col min="4101" max="4101" width="10.140625" style="775" customWidth="1"/>
    <col min="4102" max="4104" width="9.140625" style="775"/>
    <col min="4105" max="4105" width="9.140625" style="775" customWidth="1"/>
    <col min="4106" max="4352" width="9.140625" style="775"/>
    <col min="4353" max="4353" width="5.85546875" style="775" customWidth="1"/>
    <col min="4354" max="4354" width="54.140625" style="775" customWidth="1"/>
    <col min="4355" max="4355" width="13.85546875" style="775" customWidth="1"/>
    <col min="4356" max="4356" width="10" style="775" customWidth="1"/>
    <col min="4357" max="4357" width="10.140625" style="775" customWidth="1"/>
    <col min="4358" max="4360" width="9.140625" style="775"/>
    <col min="4361" max="4361" width="9.140625" style="775" customWidth="1"/>
    <col min="4362" max="4608" width="9.140625" style="775"/>
    <col min="4609" max="4609" width="5.85546875" style="775" customWidth="1"/>
    <col min="4610" max="4610" width="54.140625" style="775" customWidth="1"/>
    <col min="4611" max="4611" width="13.85546875" style="775" customWidth="1"/>
    <col min="4612" max="4612" width="10" style="775" customWidth="1"/>
    <col min="4613" max="4613" width="10.140625" style="775" customWidth="1"/>
    <col min="4614" max="4616" width="9.140625" style="775"/>
    <col min="4617" max="4617" width="9.140625" style="775" customWidth="1"/>
    <col min="4618" max="4864" width="9.140625" style="775"/>
    <col min="4865" max="4865" width="5.85546875" style="775" customWidth="1"/>
    <col min="4866" max="4866" width="54.140625" style="775" customWidth="1"/>
    <col min="4867" max="4867" width="13.85546875" style="775" customWidth="1"/>
    <col min="4868" max="4868" width="10" style="775" customWidth="1"/>
    <col min="4869" max="4869" width="10.140625" style="775" customWidth="1"/>
    <col min="4870" max="4872" width="9.140625" style="775"/>
    <col min="4873" max="4873" width="9.140625" style="775" customWidth="1"/>
    <col min="4874" max="5120" width="9.140625" style="775"/>
    <col min="5121" max="5121" width="5.85546875" style="775" customWidth="1"/>
    <col min="5122" max="5122" width="54.140625" style="775" customWidth="1"/>
    <col min="5123" max="5123" width="13.85546875" style="775" customWidth="1"/>
    <col min="5124" max="5124" width="10" style="775" customWidth="1"/>
    <col min="5125" max="5125" width="10.140625" style="775" customWidth="1"/>
    <col min="5126" max="5128" width="9.140625" style="775"/>
    <col min="5129" max="5129" width="9.140625" style="775" customWidth="1"/>
    <col min="5130" max="5376" width="9.140625" style="775"/>
    <col min="5377" max="5377" width="5.85546875" style="775" customWidth="1"/>
    <col min="5378" max="5378" width="54.140625" style="775" customWidth="1"/>
    <col min="5379" max="5379" width="13.85546875" style="775" customWidth="1"/>
    <col min="5380" max="5380" width="10" style="775" customWidth="1"/>
    <col min="5381" max="5381" width="10.140625" style="775" customWidth="1"/>
    <col min="5382" max="5384" width="9.140625" style="775"/>
    <col min="5385" max="5385" width="9.140625" style="775" customWidth="1"/>
    <col min="5386" max="5632" width="9.140625" style="775"/>
    <col min="5633" max="5633" width="5.85546875" style="775" customWidth="1"/>
    <col min="5634" max="5634" width="54.140625" style="775" customWidth="1"/>
    <col min="5635" max="5635" width="13.85546875" style="775" customWidth="1"/>
    <col min="5636" max="5636" width="10" style="775" customWidth="1"/>
    <col min="5637" max="5637" width="10.140625" style="775" customWidth="1"/>
    <col min="5638" max="5640" width="9.140625" style="775"/>
    <col min="5641" max="5641" width="9.140625" style="775" customWidth="1"/>
    <col min="5642" max="5888" width="9.140625" style="775"/>
    <col min="5889" max="5889" width="5.85546875" style="775" customWidth="1"/>
    <col min="5890" max="5890" width="54.140625" style="775" customWidth="1"/>
    <col min="5891" max="5891" width="13.85546875" style="775" customWidth="1"/>
    <col min="5892" max="5892" width="10" style="775" customWidth="1"/>
    <col min="5893" max="5893" width="10.140625" style="775" customWidth="1"/>
    <col min="5894" max="5896" width="9.140625" style="775"/>
    <col min="5897" max="5897" width="9.140625" style="775" customWidth="1"/>
    <col min="5898" max="6144" width="9.140625" style="775"/>
    <col min="6145" max="6145" width="5.85546875" style="775" customWidth="1"/>
    <col min="6146" max="6146" width="54.140625" style="775" customWidth="1"/>
    <col min="6147" max="6147" width="13.85546875" style="775" customWidth="1"/>
    <col min="6148" max="6148" width="10" style="775" customWidth="1"/>
    <col min="6149" max="6149" width="10.140625" style="775" customWidth="1"/>
    <col min="6150" max="6152" width="9.140625" style="775"/>
    <col min="6153" max="6153" width="9.140625" style="775" customWidth="1"/>
    <col min="6154" max="6400" width="9.140625" style="775"/>
    <col min="6401" max="6401" width="5.85546875" style="775" customWidth="1"/>
    <col min="6402" max="6402" width="54.140625" style="775" customWidth="1"/>
    <col min="6403" max="6403" width="13.85546875" style="775" customWidth="1"/>
    <col min="6404" max="6404" width="10" style="775" customWidth="1"/>
    <col min="6405" max="6405" width="10.140625" style="775" customWidth="1"/>
    <col min="6406" max="6408" width="9.140625" style="775"/>
    <col min="6409" max="6409" width="9.140625" style="775" customWidth="1"/>
    <col min="6410" max="6656" width="9.140625" style="775"/>
    <col min="6657" max="6657" width="5.85546875" style="775" customWidth="1"/>
    <col min="6658" max="6658" width="54.140625" style="775" customWidth="1"/>
    <col min="6659" max="6659" width="13.85546875" style="775" customWidth="1"/>
    <col min="6660" max="6660" width="10" style="775" customWidth="1"/>
    <col min="6661" max="6661" width="10.140625" style="775" customWidth="1"/>
    <col min="6662" max="6664" width="9.140625" style="775"/>
    <col min="6665" max="6665" width="9.140625" style="775" customWidth="1"/>
    <col min="6666" max="6912" width="9.140625" style="775"/>
    <col min="6913" max="6913" width="5.85546875" style="775" customWidth="1"/>
    <col min="6914" max="6914" width="54.140625" style="775" customWidth="1"/>
    <col min="6915" max="6915" width="13.85546875" style="775" customWidth="1"/>
    <col min="6916" max="6916" width="10" style="775" customWidth="1"/>
    <col min="6917" max="6917" width="10.140625" style="775" customWidth="1"/>
    <col min="6918" max="6920" width="9.140625" style="775"/>
    <col min="6921" max="6921" width="9.140625" style="775" customWidth="1"/>
    <col min="6922" max="7168" width="9.140625" style="775"/>
    <col min="7169" max="7169" width="5.85546875" style="775" customWidth="1"/>
    <col min="7170" max="7170" width="54.140625" style="775" customWidth="1"/>
    <col min="7171" max="7171" width="13.85546875" style="775" customWidth="1"/>
    <col min="7172" max="7172" width="10" style="775" customWidth="1"/>
    <col min="7173" max="7173" width="10.140625" style="775" customWidth="1"/>
    <col min="7174" max="7176" width="9.140625" style="775"/>
    <col min="7177" max="7177" width="9.140625" style="775" customWidth="1"/>
    <col min="7178" max="7424" width="9.140625" style="775"/>
    <col min="7425" max="7425" width="5.85546875" style="775" customWidth="1"/>
    <col min="7426" max="7426" width="54.140625" style="775" customWidth="1"/>
    <col min="7427" max="7427" width="13.85546875" style="775" customWidth="1"/>
    <col min="7428" max="7428" width="10" style="775" customWidth="1"/>
    <col min="7429" max="7429" width="10.140625" style="775" customWidth="1"/>
    <col min="7430" max="7432" width="9.140625" style="775"/>
    <col min="7433" max="7433" width="9.140625" style="775" customWidth="1"/>
    <col min="7434" max="7680" width="9.140625" style="775"/>
    <col min="7681" max="7681" width="5.85546875" style="775" customWidth="1"/>
    <col min="7682" max="7682" width="54.140625" style="775" customWidth="1"/>
    <col min="7683" max="7683" width="13.85546875" style="775" customWidth="1"/>
    <col min="7684" max="7684" width="10" style="775" customWidth="1"/>
    <col min="7685" max="7685" width="10.140625" style="775" customWidth="1"/>
    <col min="7686" max="7688" width="9.140625" style="775"/>
    <col min="7689" max="7689" width="9.140625" style="775" customWidth="1"/>
    <col min="7690" max="7936" width="9.140625" style="775"/>
    <col min="7937" max="7937" width="5.85546875" style="775" customWidth="1"/>
    <col min="7938" max="7938" width="54.140625" style="775" customWidth="1"/>
    <col min="7939" max="7939" width="13.85546875" style="775" customWidth="1"/>
    <col min="7940" max="7940" width="10" style="775" customWidth="1"/>
    <col min="7941" max="7941" width="10.140625" style="775" customWidth="1"/>
    <col min="7942" max="7944" width="9.140625" style="775"/>
    <col min="7945" max="7945" width="9.140625" style="775" customWidth="1"/>
    <col min="7946" max="8192" width="9.140625" style="775"/>
    <col min="8193" max="8193" width="5.85546875" style="775" customWidth="1"/>
    <col min="8194" max="8194" width="54.140625" style="775" customWidth="1"/>
    <col min="8195" max="8195" width="13.85546875" style="775" customWidth="1"/>
    <col min="8196" max="8196" width="10" style="775" customWidth="1"/>
    <col min="8197" max="8197" width="10.140625" style="775" customWidth="1"/>
    <col min="8198" max="8200" width="9.140625" style="775"/>
    <col min="8201" max="8201" width="9.140625" style="775" customWidth="1"/>
    <col min="8202" max="8448" width="9.140625" style="775"/>
    <col min="8449" max="8449" width="5.85546875" style="775" customWidth="1"/>
    <col min="8450" max="8450" width="54.140625" style="775" customWidth="1"/>
    <col min="8451" max="8451" width="13.85546875" style="775" customWidth="1"/>
    <col min="8452" max="8452" width="10" style="775" customWidth="1"/>
    <col min="8453" max="8453" width="10.140625" style="775" customWidth="1"/>
    <col min="8454" max="8456" width="9.140625" style="775"/>
    <col min="8457" max="8457" width="9.140625" style="775" customWidth="1"/>
    <col min="8458" max="8704" width="9.140625" style="775"/>
    <col min="8705" max="8705" width="5.85546875" style="775" customWidth="1"/>
    <col min="8706" max="8706" width="54.140625" style="775" customWidth="1"/>
    <col min="8707" max="8707" width="13.85546875" style="775" customWidth="1"/>
    <col min="8708" max="8708" width="10" style="775" customWidth="1"/>
    <col min="8709" max="8709" width="10.140625" style="775" customWidth="1"/>
    <col min="8710" max="8712" width="9.140625" style="775"/>
    <col min="8713" max="8713" width="9.140625" style="775" customWidth="1"/>
    <col min="8714" max="8960" width="9.140625" style="775"/>
    <col min="8961" max="8961" width="5.85546875" style="775" customWidth="1"/>
    <col min="8962" max="8962" width="54.140625" style="775" customWidth="1"/>
    <col min="8963" max="8963" width="13.85546875" style="775" customWidth="1"/>
    <col min="8964" max="8964" width="10" style="775" customWidth="1"/>
    <col min="8965" max="8965" width="10.140625" style="775" customWidth="1"/>
    <col min="8966" max="8968" width="9.140625" style="775"/>
    <col min="8969" max="8969" width="9.140625" style="775" customWidth="1"/>
    <col min="8970" max="9216" width="9.140625" style="775"/>
    <col min="9217" max="9217" width="5.85546875" style="775" customWidth="1"/>
    <col min="9218" max="9218" width="54.140625" style="775" customWidth="1"/>
    <col min="9219" max="9219" width="13.85546875" style="775" customWidth="1"/>
    <col min="9220" max="9220" width="10" style="775" customWidth="1"/>
    <col min="9221" max="9221" width="10.140625" style="775" customWidth="1"/>
    <col min="9222" max="9224" width="9.140625" style="775"/>
    <col min="9225" max="9225" width="9.140625" style="775" customWidth="1"/>
    <col min="9226" max="9472" width="9.140625" style="775"/>
    <col min="9473" max="9473" width="5.85546875" style="775" customWidth="1"/>
    <col min="9474" max="9474" width="54.140625" style="775" customWidth="1"/>
    <col min="9475" max="9475" width="13.85546875" style="775" customWidth="1"/>
    <col min="9476" max="9476" width="10" style="775" customWidth="1"/>
    <col min="9477" max="9477" width="10.140625" style="775" customWidth="1"/>
    <col min="9478" max="9480" width="9.140625" style="775"/>
    <col min="9481" max="9481" width="9.140625" style="775" customWidth="1"/>
    <col min="9482" max="9728" width="9.140625" style="775"/>
    <col min="9729" max="9729" width="5.85546875" style="775" customWidth="1"/>
    <col min="9730" max="9730" width="54.140625" style="775" customWidth="1"/>
    <col min="9731" max="9731" width="13.85546875" style="775" customWidth="1"/>
    <col min="9732" max="9732" width="10" style="775" customWidth="1"/>
    <col min="9733" max="9733" width="10.140625" style="775" customWidth="1"/>
    <col min="9734" max="9736" width="9.140625" style="775"/>
    <col min="9737" max="9737" width="9.140625" style="775" customWidth="1"/>
    <col min="9738" max="9984" width="9.140625" style="775"/>
    <col min="9985" max="9985" width="5.85546875" style="775" customWidth="1"/>
    <col min="9986" max="9986" width="54.140625" style="775" customWidth="1"/>
    <col min="9987" max="9987" width="13.85546875" style="775" customWidth="1"/>
    <col min="9988" max="9988" width="10" style="775" customWidth="1"/>
    <col min="9989" max="9989" width="10.140625" style="775" customWidth="1"/>
    <col min="9990" max="9992" width="9.140625" style="775"/>
    <col min="9993" max="9993" width="9.140625" style="775" customWidth="1"/>
    <col min="9994" max="10240" width="9.140625" style="775"/>
    <col min="10241" max="10241" width="5.85546875" style="775" customWidth="1"/>
    <col min="10242" max="10242" width="54.140625" style="775" customWidth="1"/>
    <col min="10243" max="10243" width="13.85546875" style="775" customWidth="1"/>
    <col min="10244" max="10244" width="10" style="775" customWidth="1"/>
    <col min="10245" max="10245" width="10.140625" style="775" customWidth="1"/>
    <col min="10246" max="10248" width="9.140625" style="775"/>
    <col min="10249" max="10249" width="9.140625" style="775" customWidth="1"/>
    <col min="10250" max="10496" width="9.140625" style="775"/>
    <col min="10497" max="10497" width="5.85546875" style="775" customWidth="1"/>
    <col min="10498" max="10498" width="54.140625" style="775" customWidth="1"/>
    <col min="10499" max="10499" width="13.85546875" style="775" customWidth="1"/>
    <col min="10500" max="10500" width="10" style="775" customWidth="1"/>
    <col min="10501" max="10501" width="10.140625" style="775" customWidth="1"/>
    <col min="10502" max="10504" width="9.140625" style="775"/>
    <col min="10505" max="10505" width="9.140625" style="775" customWidth="1"/>
    <col min="10506" max="10752" width="9.140625" style="775"/>
    <col min="10753" max="10753" width="5.85546875" style="775" customWidth="1"/>
    <col min="10754" max="10754" width="54.140625" style="775" customWidth="1"/>
    <col min="10755" max="10755" width="13.85546875" style="775" customWidth="1"/>
    <col min="10756" max="10756" width="10" style="775" customWidth="1"/>
    <col min="10757" max="10757" width="10.140625" style="775" customWidth="1"/>
    <col min="10758" max="10760" width="9.140625" style="775"/>
    <col min="10761" max="10761" width="9.140625" style="775" customWidth="1"/>
    <col min="10762" max="11008" width="9.140625" style="775"/>
    <col min="11009" max="11009" width="5.85546875" style="775" customWidth="1"/>
    <col min="11010" max="11010" width="54.140625" style="775" customWidth="1"/>
    <col min="11011" max="11011" width="13.85546875" style="775" customWidth="1"/>
    <col min="11012" max="11012" width="10" style="775" customWidth="1"/>
    <col min="11013" max="11013" width="10.140625" style="775" customWidth="1"/>
    <col min="11014" max="11016" width="9.140625" style="775"/>
    <col min="11017" max="11017" width="9.140625" style="775" customWidth="1"/>
    <col min="11018" max="11264" width="9.140625" style="775"/>
    <col min="11265" max="11265" width="5.85546875" style="775" customWidth="1"/>
    <col min="11266" max="11266" width="54.140625" style="775" customWidth="1"/>
    <col min="11267" max="11267" width="13.85546875" style="775" customWidth="1"/>
    <col min="11268" max="11268" width="10" style="775" customWidth="1"/>
    <col min="11269" max="11269" width="10.140625" style="775" customWidth="1"/>
    <col min="11270" max="11272" width="9.140625" style="775"/>
    <col min="11273" max="11273" width="9.140625" style="775" customWidth="1"/>
    <col min="11274" max="11520" width="9.140625" style="775"/>
    <col min="11521" max="11521" width="5.85546875" style="775" customWidth="1"/>
    <col min="11522" max="11522" width="54.140625" style="775" customWidth="1"/>
    <col min="11523" max="11523" width="13.85546875" style="775" customWidth="1"/>
    <col min="11524" max="11524" width="10" style="775" customWidth="1"/>
    <col min="11525" max="11525" width="10.140625" style="775" customWidth="1"/>
    <col min="11526" max="11528" width="9.140625" style="775"/>
    <col min="11529" max="11529" width="9.140625" style="775" customWidth="1"/>
    <col min="11530" max="11776" width="9.140625" style="775"/>
    <col min="11777" max="11777" width="5.85546875" style="775" customWidth="1"/>
    <col min="11778" max="11778" width="54.140625" style="775" customWidth="1"/>
    <col min="11779" max="11779" width="13.85546875" style="775" customWidth="1"/>
    <col min="11780" max="11780" width="10" style="775" customWidth="1"/>
    <col min="11781" max="11781" width="10.140625" style="775" customWidth="1"/>
    <col min="11782" max="11784" width="9.140625" style="775"/>
    <col min="11785" max="11785" width="9.140625" style="775" customWidth="1"/>
    <col min="11786" max="12032" width="9.140625" style="775"/>
    <col min="12033" max="12033" width="5.85546875" style="775" customWidth="1"/>
    <col min="12034" max="12034" width="54.140625" style="775" customWidth="1"/>
    <col min="12035" max="12035" width="13.85546875" style="775" customWidth="1"/>
    <col min="12036" max="12036" width="10" style="775" customWidth="1"/>
    <col min="12037" max="12037" width="10.140625" style="775" customWidth="1"/>
    <col min="12038" max="12040" width="9.140625" style="775"/>
    <col min="12041" max="12041" width="9.140625" style="775" customWidth="1"/>
    <col min="12042" max="12288" width="9.140625" style="775"/>
    <col min="12289" max="12289" width="5.85546875" style="775" customWidth="1"/>
    <col min="12290" max="12290" width="54.140625" style="775" customWidth="1"/>
    <col min="12291" max="12291" width="13.85546875" style="775" customWidth="1"/>
    <col min="12292" max="12292" width="10" style="775" customWidth="1"/>
    <col min="12293" max="12293" width="10.140625" style="775" customWidth="1"/>
    <col min="12294" max="12296" width="9.140625" style="775"/>
    <col min="12297" max="12297" width="9.140625" style="775" customWidth="1"/>
    <col min="12298" max="12544" width="9.140625" style="775"/>
    <col min="12545" max="12545" width="5.85546875" style="775" customWidth="1"/>
    <col min="12546" max="12546" width="54.140625" style="775" customWidth="1"/>
    <col min="12547" max="12547" width="13.85546875" style="775" customWidth="1"/>
    <col min="12548" max="12548" width="10" style="775" customWidth="1"/>
    <col min="12549" max="12549" width="10.140625" style="775" customWidth="1"/>
    <col min="12550" max="12552" width="9.140625" style="775"/>
    <col min="12553" max="12553" width="9.140625" style="775" customWidth="1"/>
    <col min="12554" max="12800" width="9.140625" style="775"/>
    <col min="12801" max="12801" width="5.85546875" style="775" customWidth="1"/>
    <col min="12802" max="12802" width="54.140625" style="775" customWidth="1"/>
    <col min="12803" max="12803" width="13.85546875" style="775" customWidth="1"/>
    <col min="12804" max="12804" width="10" style="775" customWidth="1"/>
    <col min="12805" max="12805" width="10.140625" style="775" customWidth="1"/>
    <col min="12806" max="12808" width="9.140625" style="775"/>
    <col min="12809" max="12809" width="9.140625" style="775" customWidth="1"/>
    <col min="12810" max="13056" width="9.140625" style="775"/>
    <col min="13057" max="13057" width="5.85546875" style="775" customWidth="1"/>
    <col min="13058" max="13058" width="54.140625" style="775" customWidth="1"/>
    <col min="13059" max="13059" width="13.85546875" style="775" customWidth="1"/>
    <col min="13060" max="13060" width="10" style="775" customWidth="1"/>
    <col min="13061" max="13061" width="10.140625" style="775" customWidth="1"/>
    <col min="13062" max="13064" width="9.140625" style="775"/>
    <col min="13065" max="13065" width="9.140625" style="775" customWidth="1"/>
    <col min="13066" max="13312" width="9.140625" style="775"/>
    <col min="13313" max="13313" width="5.85546875" style="775" customWidth="1"/>
    <col min="13314" max="13314" width="54.140625" style="775" customWidth="1"/>
    <col min="13315" max="13315" width="13.85546875" style="775" customWidth="1"/>
    <col min="13316" max="13316" width="10" style="775" customWidth="1"/>
    <col min="13317" max="13317" width="10.140625" style="775" customWidth="1"/>
    <col min="13318" max="13320" width="9.140625" style="775"/>
    <col min="13321" max="13321" width="9.140625" style="775" customWidth="1"/>
    <col min="13322" max="13568" width="9.140625" style="775"/>
    <col min="13569" max="13569" width="5.85546875" style="775" customWidth="1"/>
    <col min="13570" max="13570" width="54.140625" style="775" customWidth="1"/>
    <col min="13571" max="13571" width="13.85546875" style="775" customWidth="1"/>
    <col min="13572" max="13572" width="10" style="775" customWidth="1"/>
    <col min="13573" max="13573" width="10.140625" style="775" customWidth="1"/>
    <col min="13574" max="13576" width="9.140625" style="775"/>
    <col min="13577" max="13577" width="9.140625" style="775" customWidth="1"/>
    <col min="13578" max="13824" width="9.140625" style="775"/>
    <col min="13825" max="13825" width="5.85546875" style="775" customWidth="1"/>
    <col min="13826" max="13826" width="54.140625" style="775" customWidth="1"/>
    <col min="13827" max="13827" width="13.85546875" style="775" customWidth="1"/>
    <col min="13828" max="13828" width="10" style="775" customWidth="1"/>
    <col min="13829" max="13829" width="10.140625" style="775" customWidth="1"/>
    <col min="13830" max="13832" width="9.140625" style="775"/>
    <col min="13833" max="13833" width="9.140625" style="775" customWidth="1"/>
    <col min="13834" max="14080" width="9.140625" style="775"/>
    <col min="14081" max="14081" width="5.85546875" style="775" customWidth="1"/>
    <col min="14082" max="14082" width="54.140625" style="775" customWidth="1"/>
    <col min="14083" max="14083" width="13.85546875" style="775" customWidth="1"/>
    <col min="14084" max="14084" width="10" style="775" customWidth="1"/>
    <col min="14085" max="14085" width="10.140625" style="775" customWidth="1"/>
    <col min="14086" max="14088" width="9.140625" style="775"/>
    <col min="14089" max="14089" width="9.140625" style="775" customWidth="1"/>
    <col min="14090" max="14336" width="9.140625" style="775"/>
    <col min="14337" max="14337" width="5.85546875" style="775" customWidth="1"/>
    <col min="14338" max="14338" width="54.140625" style="775" customWidth="1"/>
    <col min="14339" max="14339" width="13.85546875" style="775" customWidth="1"/>
    <col min="14340" max="14340" width="10" style="775" customWidth="1"/>
    <col min="14341" max="14341" width="10.140625" style="775" customWidth="1"/>
    <col min="14342" max="14344" width="9.140625" style="775"/>
    <col min="14345" max="14345" width="9.140625" style="775" customWidth="1"/>
    <col min="14346" max="14592" width="9.140625" style="775"/>
    <col min="14593" max="14593" width="5.85546875" style="775" customWidth="1"/>
    <col min="14594" max="14594" width="54.140625" style="775" customWidth="1"/>
    <col min="14595" max="14595" width="13.85546875" style="775" customWidth="1"/>
    <col min="14596" max="14596" width="10" style="775" customWidth="1"/>
    <col min="14597" max="14597" width="10.140625" style="775" customWidth="1"/>
    <col min="14598" max="14600" width="9.140625" style="775"/>
    <col min="14601" max="14601" width="9.140625" style="775" customWidth="1"/>
    <col min="14602" max="14848" width="9.140625" style="775"/>
    <col min="14849" max="14849" width="5.85546875" style="775" customWidth="1"/>
    <col min="14850" max="14850" width="54.140625" style="775" customWidth="1"/>
    <col min="14851" max="14851" width="13.85546875" style="775" customWidth="1"/>
    <col min="14852" max="14852" width="10" style="775" customWidth="1"/>
    <col min="14853" max="14853" width="10.140625" style="775" customWidth="1"/>
    <col min="14854" max="14856" width="9.140625" style="775"/>
    <col min="14857" max="14857" width="9.140625" style="775" customWidth="1"/>
    <col min="14858" max="15104" width="9.140625" style="775"/>
    <col min="15105" max="15105" width="5.85546875" style="775" customWidth="1"/>
    <col min="15106" max="15106" width="54.140625" style="775" customWidth="1"/>
    <col min="15107" max="15107" width="13.85546875" style="775" customWidth="1"/>
    <col min="15108" max="15108" width="10" style="775" customWidth="1"/>
    <col min="15109" max="15109" width="10.140625" style="775" customWidth="1"/>
    <col min="15110" max="15112" width="9.140625" style="775"/>
    <col min="15113" max="15113" width="9.140625" style="775" customWidth="1"/>
    <col min="15114" max="15360" width="9.140625" style="775"/>
    <col min="15361" max="15361" width="5.85546875" style="775" customWidth="1"/>
    <col min="15362" max="15362" width="54.140625" style="775" customWidth="1"/>
    <col min="15363" max="15363" width="13.85546875" style="775" customWidth="1"/>
    <col min="15364" max="15364" width="10" style="775" customWidth="1"/>
    <col min="15365" max="15365" width="10.140625" style="775" customWidth="1"/>
    <col min="15366" max="15368" width="9.140625" style="775"/>
    <col min="15369" max="15369" width="9.140625" style="775" customWidth="1"/>
    <col min="15370" max="15616" width="9.140625" style="775"/>
    <col min="15617" max="15617" width="5.85546875" style="775" customWidth="1"/>
    <col min="15618" max="15618" width="54.140625" style="775" customWidth="1"/>
    <col min="15619" max="15619" width="13.85546875" style="775" customWidth="1"/>
    <col min="15620" max="15620" width="10" style="775" customWidth="1"/>
    <col min="15621" max="15621" width="10.140625" style="775" customWidth="1"/>
    <col min="15622" max="15624" width="9.140625" style="775"/>
    <col min="15625" max="15625" width="9.140625" style="775" customWidth="1"/>
    <col min="15626" max="15872" width="9.140625" style="775"/>
    <col min="15873" max="15873" width="5.85546875" style="775" customWidth="1"/>
    <col min="15874" max="15874" width="54.140625" style="775" customWidth="1"/>
    <col min="15875" max="15875" width="13.85546875" style="775" customWidth="1"/>
    <col min="15876" max="15876" width="10" style="775" customWidth="1"/>
    <col min="15877" max="15877" width="10.140625" style="775" customWidth="1"/>
    <col min="15878" max="15880" width="9.140625" style="775"/>
    <col min="15881" max="15881" width="9.140625" style="775" customWidth="1"/>
    <col min="15882" max="16128" width="9.140625" style="775"/>
    <col min="16129" max="16129" width="5.85546875" style="775" customWidth="1"/>
    <col min="16130" max="16130" width="54.140625" style="775" customWidth="1"/>
    <col min="16131" max="16131" width="13.85546875" style="775" customWidth="1"/>
    <col min="16132" max="16132" width="10" style="775" customWidth="1"/>
    <col min="16133" max="16133" width="10.140625" style="775" customWidth="1"/>
    <col min="16134" max="16136" width="9.140625" style="775"/>
    <col min="16137" max="16137" width="9.140625" style="775" customWidth="1"/>
    <col min="16138" max="16381" width="9.140625" style="775"/>
    <col min="16382" max="16384" width="9.140625" style="775" customWidth="1"/>
  </cols>
  <sheetData>
    <row r="1" spans="1:14" ht="12.75" x14ac:dyDescent="0.2">
      <c r="C1" s="939" t="s">
        <v>203</v>
      </c>
    </row>
    <row r="2" spans="1:14" s="777" customFormat="1" ht="33.75" customHeight="1" thickBot="1" x14ac:dyDescent="0.35">
      <c r="A2" s="935" t="s">
        <v>733</v>
      </c>
      <c r="B2" s="935"/>
      <c r="C2" s="935"/>
      <c r="D2" s="776"/>
      <c r="E2" s="776"/>
      <c r="F2" s="776"/>
      <c r="G2" s="776"/>
    </row>
    <row r="3" spans="1:14" s="785" customFormat="1" ht="52.5" customHeight="1" thickBot="1" x14ac:dyDescent="0.35">
      <c r="A3" s="778" t="s">
        <v>102</v>
      </c>
      <c r="B3" s="779" t="s">
        <v>103</v>
      </c>
      <c r="C3" s="780" t="s">
        <v>732</v>
      </c>
      <c r="D3" s="781"/>
      <c r="E3" s="782"/>
      <c r="F3" s="776"/>
      <c r="G3" s="781"/>
      <c r="H3" s="783"/>
      <c r="I3" s="784"/>
      <c r="M3" s="786"/>
    </row>
    <row r="4" spans="1:14" s="789" customFormat="1" ht="16.5" thickTop="1" x14ac:dyDescent="0.25">
      <c r="A4" s="459">
        <v>1</v>
      </c>
      <c r="B4" s="455" t="s">
        <v>108</v>
      </c>
      <c r="C4" s="787">
        <v>133852</v>
      </c>
      <c r="D4" s="772"/>
      <c r="E4" s="772"/>
      <c r="F4" s="772"/>
      <c r="G4" s="772"/>
      <c r="H4" s="788"/>
      <c r="I4" s="788"/>
      <c r="M4" s="340"/>
      <c r="N4" s="341"/>
    </row>
    <row r="5" spans="1:14" s="789" customFormat="1" ht="15.75" x14ac:dyDescent="0.25">
      <c r="A5" s="459">
        <v>2</v>
      </c>
      <c r="B5" s="455" t="s">
        <v>109</v>
      </c>
      <c r="C5" s="787">
        <f>84341</f>
        <v>84341</v>
      </c>
      <c r="D5" s="772"/>
      <c r="E5" s="772"/>
      <c r="F5" s="772"/>
      <c r="G5" s="772"/>
      <c r="H5" s="788"/>
      <c r="I5" s="788"/>
      <c r="M5" s="340"/>
      <c r="N5" s="341"/>
    </row>
    <row r="6" spans="1:14" s="789" customFormat="1" ht="15.75" x14ac:dyDescent="0.25">
      <c r="A6" s="459">
        <v>3</v>
      </c>
      <c r="B6" s="455" t="s">
        <v>110</v>
      </c>
      <c r="C6" s="787">
        <v>10000</v>
      </c>
      <c r="D6" s="772"/>
      <c r="E6" s="772"/>
      <c r="F6" s="772"/>
      <c r="G6" s="772"/>
      <c r="H6" s="788"/>
      <c r="I6" s="788"/>
      <c r="M6" s="340"/>
      <c r="N6" s="341"/>
    </row>
    <row r="7" spans="1:14" s="789" customFormat="1" ht="15.75" x14ac:dyDescent="0.25">
      <c r="A7" s="459">
        <v>4</v>
      </c>
      <c r="B7" s="456" t="s">
        <v>111</v>
      </c>
      <c r="C7" s="790">
        <v>68167</v>
      </c>
      <c r="D7" s="772"/>
      <c r="E7" s="772"/>
      <c r="F7" s="772"/>
      <c r="G7" s="772"/>
      <c r="H7" s="788"/>
      <c r="I7" s="788"/>
      <c r="M7" s="340"/>
      <c r="N7" s="341"/>
    </row>
    <row r="8" spans="1:14" s="789" customFormat="1" ht="15.75" x14ac:dyDescent="0.25">
      <c r="A8" s="459">
        <v>5</v>
      </c>
      <c r="B8" s="455" t="s">
        <v>35</v>
      </c>
      <c r="C8" s="787">
        <v>20993</v>
      </c>
      <c r="D8" s="772"/>
      <c r="E8" s="772"/>
      <c r="F8" s="772"/>
      <c r="G8" s="772"/>
      <c r="H8" s="788"/>
      <c r="I8" s="788"/>
      <c r="M8" s="340"/>
      <c r="N8" s="341"/>
    </row>
    <row r="9" spans="1:14" s="789" customFormat="1" ht="15.75" x14ac:dyDescent="0.25">
      <c r="A9" s="459">
        <v>6</v>
      </c>
      <c r="B9" s="455" t="s">
        <v>84</v>
      </c>
      <c r="C9" s="787">
        <v>50419</v>
      </c>
      <c r="D9" s="772"/>
      <c r="E9" s="772"/>
      <c r="F9" s="772"/>
      <c r="G9" s="772"/>
      <c r="H9" s="788"/>
      <c r="I9" s="788"/>
      <c r="M9" s="340"/>
      <c r="N9" s="341"/>
    </row>
    <row r="10" spans="1:14" s="789" customFormat="1" ht="15.75" x14ac:dyDescent="0.25">
      <c r="A10" s="459">
        <v>7</v>
      </c>
      <c r="B10" s="455" t="s">
        <v>112</v>
      </c>
      <c r="C10" s="787">
        <v>26702</v>
      </c>
      <c r="D10" s="772"/>
      <c r="E10" s="772"/>
      <c r="F10" s="772"/>
      <c r="G10" s="772"/>
      <c r="H10" s="788"/>
      <c r="I10" s="788"/>
      <c r="M10" s="340"/>
      <c r="N10" s="341"/>
    </row>
    <row r="11" spans="1:14" s="789" customFormat="1" ht="15.75" x14ac:dyDescent="0.25">
      <c r="A11" s="459">
        <v>8</v>
      </c>
      <c r="B11" s="455" t="s">
        <v>558</v>
      </c>
      <c r="C11" s="787">
        <v>37634</v>
      </c>
      <c r="D11" s="772"/>
      <c r="E11" s="772"/>
      <c r="F11" s="772"/>
      <c r="G11" s="772"/>
      <c r="H11" s="788"/>
      <c r="I11" s="788"/>
      <c r="M11" s="340"/>
      <c r="N11" s="341"/>
    </row>
    <row r="12" spans="1:14" s="789" customFormat="1" ht="15.75" x14ac:dyDescent="0.25">
      <c r="A12" s="459">
        <v>9</v>
      </c>
      <c r="B12" s="455" t="s">
        <v>114</v>
      </c>
      <c r="C12" s="787">
        <v>22811</v>
      </c>
      <c r="D12" s="772"/>
      <c r="E12" s="772"/>
      <c r="F12" s="772"/>
      <c r="G12" s="772"/>
      <c r="H12" s="788"/>
      <c r="I12" s="788"/>
      <c r="M12" s="340"/>
      <c r="N12" s="341"/>
    </row>
    <row r="13" spans="1:14" s="789" customFormat="1" ht="15.75" x14ac:dyDescent="0.25">
      <c r="A13" s="459">
        <v>10</v>
      </c>
      <c r="B13" s="206" t="s">
        <v>117</v>
      </c>
      <c r="C13" s="791">
        <v>46161</v>
      </c>
      <c r="D13" s="792"/>
      <c r="E13" s="772"/>
      <c r="F13" s="792"/>
      <c r="G13" s="792"/>
      <c r="H13" s="788"/>
      <c r="I13" s="788"/>
      <c r="M13" s="340"/>
      <c r="N13" s="341"/>
    </row>
    <row r="14" spans="1:14" s="789" customFormat="1" ht="15.75" x14ac:dyDescent="0.25">
      <c r="A14" s="459">
        <v>11</v>
      </c>
      <c r="B14" s="206" t="s">
        <v>118</v>
      </c>
      <c r="C14" s="791">
        <v>218965</v>
      </c>
      <c r="D14" s="792"/>
      <c r="E14" s="772"/>
      <c r="F14" s="792"/>
      <c r="G14" s="792"/>
      <c r="H14" s="788"/>
      <c r="I14" s="788"/>
      <c r="M14" s="340"/>
      <c r="N14" s="341"/>
    </row>
    <row r="15" spans="1:14" s="789" customFormat="1" ht="15.75" x14ac:dyDescent="0.25">
      <c r="A15" s="459">
        <v>12</v>
      </c>
      <c r="B15" s="457" t="s">
        <v>185</v>
      </c>
      <c r="C15" s="793">
        <v>24684</v>
      </c>
      <c r="D15" s="792"/>
      <c r="E15" s="772"/>
      <c r="F15" s="792"/>
      <c r="G15" s="792"/>
      <c r="H15" s="788"/>
      <c r="I15" s="788"/>
      <c r="M15" s="340"/>
      <c r="N15" s="341"/>
    </row>
    <row r="16" spans="1:14" s="789" customFormat="1" ht="31.5" x14ac:dyDescent="0.25">
      <c r="A16" s="459">
        <v>13</v>
      </c>
      <c r="B16" s="206" t="s">
        <v>200</v>
      </c>
      <c r="C16" s="787">
        <v>3068</v>
      </c>
      <c r="D16" s="772"/>
      <c r="E16" s="772"/>
      <c r="F16" s="792"/>
      <c r="G16" s="792"/>
      <c r="M16" s="340"/>
      <c r="N16" s="341"/>
    </row>
    <row r="17" spans="1:14" s="789" customFormat="1" ht="15.75" x14ac:dyDescent="0.25">
      <c r="A17" s="459">
        <v>14</v>
      </c>
      <c r="B17" s="206" t="s">
        <v>349</v>
      </c>
      <c r="C17" s="787">
        <v>24334</v>
      </c>
      <c r="D17" s="772"/>
      <c r="E17" s="772"/>
      <c r="F17" s="792"/>
      <c r="G17" s="792"/>
      <c r="M17" s="340"/>
      <c r="N17" s="341"/>
    </row>
    <row r="18" spans="1:14" s="789" customFormat="1" ht="15.75" x14ac:dyDescent="0.25">
      <c r="A18" s="459">
        <v>15</v>
      </c>
      <c r="B18" s="458" t="s">
        <v>559</v>
      </c>
      <c r="C18" s="787">
        <v>1488</v>
      </c>
      <c r="D18" s="772"/>
      <c r="E18" s="772"/>
      <c r="F18" s="792"/>
      <c r="G18" s="792"/>
      <c r="M18" s="340"/>
      <c r="N18" s="341"/>
    </row>
    <row r="19" spans="1:14" s="789" customFormat="1" ht="29.25" customHeight="1" x14ac:dyDescent="0.25">
      <c r="A19" s="459">
        <v>16</v>
      </c>
      <c r="B19" s="470" t="s">
        <v>838</v>
      </c>
      <c r="C19" s="794">
        <v>10708</v>
      </c>
      <c r="D19" s="772"/>
      <c r="E19" s="772"/>
      <c r="F19" s="792"/>
      <c r="G19" s="792"/>
      <c r="M19" s="340"/>
      <c r="N19" s="341"/>
    </row>
    <row r="20" spans="1:14" s="789" customFormat="1" ht="15.75" x14ac:dyDescent="0.25">
      <c r="A20" s="459">
        <v>17</v>
      </c>
      <c r="B20" s="470" t="s">
        <v>839</v>
      </c>
      <c r="C20" s="794">
        <v>2166</v>
      </c>
      <c r="D20" s="772"/>
      <c r="E20" s="772"/>
      <c r="F20" s="792"/>
      <c r="G20" s="792"/>
      <c r="M20" s="340"/>
      <c r="N20" s="341"/>
    </row>
    <row r="21" spans="1:14" s="789" customFormat="1" ht="16.5" thickBot="1" x14ac:dyDescent="0.3">
      <c r="A21" s="459">
        <v>18</v>
      </c>
      <c r="B21" s="470" t="s">
        <v>935</v>
      </c>
      <c r="C21" s="794">
        <v>728</v>
      </c>
      <c r="D21" s="772"/>
      <c r="E21" s="772"/>
      <c r="F21" s="792"/>
      <c r="G21" s="792"/>
      <c r="M21" s="340"/>
      <c r="N21" s="341"/>
    </row>
    <row r="22" spans="1:14" s="789" customFormat="1" ht="16.5" thickBot="1" x14ac:dyDescent="0.3">
      <c r="A22" s="795"/>
      <c r="B22" s="796" t="s">
        <v>129</v>
      </c>
      <c r="C22" s="797">
        <f>SUM(C4:C21)</f>
        <v>787221</v>
      </c>
      <c r="D22" s="798"/>
      <c r="E22" s="798"/>
      <c r="F22" s="798"/>
      <c r="G22" s="798"/>
      <c r="H22" s="799"/>
      <c r="I22" s="799"/>
      <c r="M22" s="340"/>
      <c r="N22" s="341"/>
    </row>
    <row r="23" spans="1:14" s="789" customFormat="1" ht="15.75" x14ac:dyDescent="0.25">
      <c r="A23" s="800"/>
      <c r="B23" s="801"/>
      <c r="C23" s="802"/>
      <c r="D23" s="802"/>
      <c r="E23" s="803"/>
      <c r="F23" s="804"/>
      <c r="G23" s="802"/>
      <c r="K23" s="805"/>
      <c r="M23" s="342"/>
      <c r="N23" s="343"/>
    </row>
    <row r="24" spans="1:14" s="789" customFormat="1" ht="15.75" x14ac:dyDescent="0.25">
      <c r="A24" s="800"/>
      <c r="B24" s="806"/>
      <c r="C24" s="807"/>
      <c r="D24" s="807"/>
      <c r="E24" s="808"/>
      <c r="F24" s="807"/>
      <c r="G24" s="807"/>
      <c r="M24" s="340"/>
      <c r="N24" s="341"/>
    </row>
    <row r="25" spans="1:14" s="789" customFormat="1" ht="16.5" thickBot="1" x14ac:dyDescent="0.3">
      <c r="A25" s="809" t="s">
        <v>158</v>
      </c>
      <c r="B25" s="810"/>
      <c r="C25" s="809"/>
      <c r="D25" s="809"/>
      <c r="E25" s="811"/>
      <c r="F25" s="809"/>
      <c r="G25" s="809"/>
      <c r="M25" s="340"/>
      <c r="N25" s="341"/>
    </row>
    <row r="26" spans="1:14" s="789" customFormat="1" ht="19.5" thickBot="1" x14ac:dyDescent="0.35">
      <c r="A26" s="778" t="s">
        <v>102</v>
      </c>
      <c r="B26" s="779" t="s">
        <v>103</v>
      </c>
      <c r="C26" s="780" t="s">
        <v>732</v>
      </c>
      <c r="D26" s="812"/>
      <c r="E26" s="813"/>
      <c r="F26" s="781"/>
      <c r="G26" s="812"/>
      <c r="H26" s="784"/>
      <c r="I26" s="784"/>
      <c r="M26" s="340"/>
      <c r="N26" s="341"/>
    </row>
    <row r="27" spans="1:14" s="789" customFormat="1" ht="16.5" thickTop="1" x14ac:dyDescent="0.25">
      <c r="A27" s="814">
        <v>1</v>
      </c>
      <c r="B27" s="206" t="s">
        <v>119</v>
      </c>
      <c r="C27" s="791">
        <f>51978+8840</f>
        <v>60818</v>
      </c>
      <c r="D27" s="792"/>
      <c r="E27" s="815"/>
      <c r="F27" s="792"/>
      <c r="G27" s="792"/>
      <c r="H27" s="788"/>
      <c r="I27" s="788"/>
      <c r="M27" s="340"/>
      <c r="N27" s="341"/>
    </row>
    <row r="28" spans="1:14" s="789" customFormat="1" ht="15.75" x14ac:dyDescent="0.25">
      <c r="A28" s="814">
        <v>2</v>
      </c>
      <c r="B28" s="206" t="s">
        <v>120</v>
      </c>
      <c r="C28" s="791">
        <v>100789</v>
      </c>
      <c r="D28" s="792"/>
      <c r="E28" s="815"/>
      <c r="F28" s="792"/>
      <c r="G28" s="792"/>
      <c r="H28" s="788"/>
      <c r="I28" s="788"/>
      <c r="M28" s="340"/>
      <c r="N28" s="341"/>
    </row>
    <row r="29" spans="1:14" ht="31.5" x14ac:dyDescent="0.25">
      <c r="A29" s="814">
        <v>3</v>
      </c>
      <c r="B29" s="206" t="s">
        <v>581</v>
      </c>
      <c r="C29" s="791">
        <v>36242</v>
      </c>
      <c r="D29" s="792"/>
      <c r="E29" s="815"/>
      <c r="F29" s="792"/>
      <c r="G29" s="792"/>
      <c r="H29" s="788"/>
      <c r="I29" s="788"/>
      <c r="M29" s="340"/>
      <c r="N29" s="341"/>
    </row>
    <row r="30" spans="1:14" ht="15.75" x14ac:dyDescent="0.25">
      <c r="A30" s="814">
        <v>4</v>
      </c>
      <c r="B30" s="206" t="s">
        <v>159</v>
      </c>
      <c r="C30" s="791">
        <v>847</v>
      </c>
      <c r="D30" s="792"/>
      <c r="E30" s="815"/>
      <c r="F30" s="792"/>
      <c r="G30" s="792"/>
      <c r="H30" s="788"/>
      <c r="I30" s="788"/>
      <c r="M30" s="340"/>
      <c r="N30" s="341"/>
    </row>
    <row r="31" spans="1:14" ht="16.5" thickBot="1" x14ac:dyDescent="0.3">
      <c r="A31" s="881">
        <v>5</v>
      </c>
      <c r="B31" s="206" t="s">
        <v>560</v>
      </c>
      <c r="C31" s="816">
        <v>34835</v>
      </c>
      <c r="D31" s="792"/>
      <c r="E31" s="815"/>
      <c r="F31" s="792"/>
      <c r="G31" s="792"/>
      <c r="H31" s="788"/>
      <c r="I31" s="788"/>
      <c r="M31" s="340"/>
      <c r="N31" s="341"/>
    </row>
    <row r="32" spans="1:14" ht="15.75" x14ac:dyDescent="0.25">
      <c r="A32" s="888"/>
      <c r="B32" s="889" t="s">
        <v>130</v>
      </c>
      <c r="C32" s="890">
        <f>SUM(C27:C31)</f>
        <v>233531</v>
      </c>
      <c r="D32" s="798"/>
      <c r="E32" s="798"/>
      <c r="F32" s="807"/>
      <c r="G32" s="807"/>
      <c r="H32" s="799"/>
      <c r="I32" s="799"/>
      <c r="J32" s="817"/>
    </row>
    <row r="33" spans="1:11" ht="15.75" x14ac:dyDescent="0.25">
      <c r="A33" s="891"/>
      <c r="B33" s="893" t="s">
        <v>130</v>
      </c>
      <c r="C33" s="892">
        <f>C22+C32</f>
        <v>1020752</v>
      </c>
      <c r="D33" s="882"/>
      <c r="E33" s="883"/>
      <c r="F33" s="818"/>
      <c r="G33" s="807"/>
      <c r="K33" s="802"/>
    </row>
    <row r="34" spans="1:11" ht="15.75" x14ac:dyDescent="0.25">
      <c r="A34" s="800"/>
      <c r="B34" s="806"/>
      <c r="C34" s="800"/>
      <c r="D34" s="884"/>
      <c r="E34" s="885"/>
      <c r="F34" s="800"/>
      <c r="G34" s="800"/>
    </row>
    <row r="35" spans="1:11" ht="15.75" x14ac:dyDescent="0.25">
      <c r="A35" s="800"/>
      <c r="B35" s="765" t="s">
        <v>941</v>
      </c>
      <c r="C35" s="767"/>
      <c r="D35" s="886"/>
      <c r="E35" s="886"/>
      <c r="F35" s="767"/>
      <c r="G35" s="767"/>
    </row>
    <row r="36" spans="1:11" s="820" customFormat="1" x14ac:dyDescent="0.2">
      <c r="A36" s="775"/>
      <c r="B36" s="819"/>
      <c r="C36" s="775"/>
      <c r="D36" s="887"/>
      <c r="E36" s="887"/>
      <c r="F36" s="775"/>
      <c r="G36" s="775"/>
    </row>
    <row r="37" spans="1:11" s="817" customFormat="1" x14ac:dyDescent="0.2">
      <c r="A37" s="775"/>
      <c r="B37" s="819"/>
      <c r="C37" s="775"/>
      <c r="D37" s="887"/>
      <c r="E37" s="887"/>
      <c r="F37" s="775"/>
      <c r="G37" s="775"/>
    </row>
    <row r="38" spans="1:11" s="817" customFormat="1" ht="12.75" hidden="1" customHeight="1" x14ac:dyDescent="0.2">
      <c r="A38" s="775"/>
      <c r="B38" s="819"/>
      <c r="C38" s="775"/>
      <c r="D38" s="775"/>
      <c r="E38" s="775"/>
      <c r="F38" s="775"/>
      <c r="G38" s="775"/>
    </row>
    <row r="39" spans="1:11" s="817" customFormat="1" ht="12.75" customHeight="1" x14ac:dyDescent="0.2">
      <c r="A39" s="775"/>
      <c r="B39" s="819"/>
      <c r="C39" s="775"/>
      <c r="D39" s="775"/>
      <c r="E39" s="775"/>
      <c r="F39" s="775"/>
      <c r="G39" s="775"/>
    </row>
  </sheetData>
  <mergeCells count="1">
    <mergeCell ref="A2:C2"/>
  </mergeCells>
  <phoneticPr fontId="0" type="noConversion"/>
  <pageMargins left="0.55118110236220474" right="0.55118110236220474" top="0.39370078740157483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opLeftCell="B1" zoomScale="110" zoomScaleNormal="110" workbookViewId="0">
      <selection activeCell="N6" sqref="N6"/>
    </sheetView>
  </sheetViews>
  <sheetFormatPr defaultColWidth="9.140625" defaultRowHeight="15" x14ac:dyDescent="0.25"/>
  <cols>
    <col min="1" max="1" width="6" style="1" hidden="1" customWidth="1"/>
    <col min="2" max="2" width="6.140625" style="1" customWidth="1"/>
    <col min="3" max="3" width="48.85546875" style="1" customWidth="1"/>
    <col min="4" max="4" width="11" style="1" customWidth="1"/>
    <col min="5" max="5" width="11.140625" style="1" customWidth="1"/>
    <col min="6" max="6" width="9.42578125" style="1" bestFit="1" customWidth="1"/>
    <col min="7" max="7" width="8.85546875" style="1" customWidth="1"/>
    <col min="8" max="8" width="9.5703125" style="1" customWidth="1"/>
    <col min="9" max="9" width="8.85546875" style="1" customWidth="1"/>
    <col min="10" max="16384" width="9.140625" style="1"/>
  </cols>
  <sheetData>
    <row r="1" spans="1:10" x14ac:dyDescent="0.25">
      <c r="C1" s="2" t="s">
        <v>0</v>
      </c>
      <c r="D1" s="2"/>
      <c r="I1" s="2" t="s">
        <v>203</v>
      </c>
    </row>
    <row r="3" spans="1:10" x14ac:dyDescent="0.25">
      <c r="A3" s="3"/>
      <c r="B3" s="3" t="s">
        <v>90</v>
      </c>
      <c r="H3" s="136"/>
    </row>
    <row r="4" spans="1:10" x14ac:dyDescent="0.25">
      <c r="C4" s="3" t="s">
        <v>714</v>
      </c>
      <c r="D4" s="3"/>
    </row>
    <row r="5" spans="1:10" x14ac:dyDescent="0.25">
      <c r="A5" s="3"/>
      <c r="B5" s="71" t="s">
        <v>91</v>
      </c>
      <c r="C5" s="72"/>
      <c r="D5" s="72"/>
      <c r="E5" s="6" t="s">
        <v>411</v>
      </c>
      <c r="F5" s="33" t="s">
        <v>195</v>
      </c>
      <c r="G5" s="33" t="s">
        <v>266</v>
      </c>
      <c r="H5" s="33" t="s">
        <v>267</v>
      </c>
      <c r="I5" s="33" t="s">
        <v>268</v>
      </c>
      <c r="J5" s="33"/>
    </row>
    <row r="6" spans="1:10" s="5" customFormat="1" ht="90.75" thickBot="1" x14ac:dyDescent="0.3">
      <c r="C6" s="73"/>
      <c r="D6" s="73"/>
      <c r="E6" s="739" t="s">
        <v>412</v>
      </c>
      <c r="F6" s="739" t="s">
        <v>236</v>
      </c>
      <c r="G6" s="739" t="s">
        <v>239</v>
      </c>
      <c r="H6" s="739" t="s">
        <v>237</v>
      </c>
      <c r="I6" s="739" t="s">
        <v>238</v>
      </c>
      <c r="J6" s="739"/>
    </row>
    <row r="7" spans="1:10" ht="39.75" customHeight="1" thickBot="1" x14ac:dyDescent="0.35">
      <c r="A7" s="74"/>
      <c r="B7" s="70" t="s">
        <v>7</v>
      </c>
      <c r="C7" s="658" t="s">
        <v>10</v>
      </c>
      <c r="D7" s="655" t="s">
        <v>29</v>
      </c>
      <c r="E7" s="36" t="s">
        <v>152</v>
      </c>
      <c r="F7" s="36" t="s">
        <v>152</v>
      </c>
      <c r="G7" s="36" t="s">
        <v>152</v>
      </c>
      <c r="H7" s="36" t="s">
        <v>152</v>
      </c>
      <c r="I7" s="36" t="s">
        <v>152</v>
      </c>
    </row>
    <row r="8" spans="1:10" x14ac:dyDescent="0.25">
      <c r="A8" s="76"/>
      <c r="B8" s="661">
        <v>1100</v>
      </c>
      <c r="C8" s="662" t="s">
        <v>11</v>
      </c>
      <c r="D8" s="51">
        <f>F8+G8+H8+I8+E8</f>
        <v>1163706</v>
      </c>
      <c r="E8" s="403">
        <v>125706</v>
      </c>
      <c r="F8" s="124">
        <v>534478</v>
      </c>
      <c r="G8" s="291">
        <v>72094</v>
      </c>
      <c r="H8" s="291">
        <v>213052</v>
      </c>
      <c r="I8" s="291">
        <v>218376</v>
      </c>
    </row>
    <row r="9" spans="1:10" ht="26.25" customHeight="1" x14ac:dyDescent="0.25">
      <c r="A9" s="81"/>
      <c r="B9" s="82">
        <v>1200</v>
      </c>
      <c r="C9" s="663" t="s">
        <v>12</v>
      </c>
      <c r="D9" s="51">
        <f t="shared" ref="D9:D23" si="0">F9+G9+H9+I9+E9</f>
        <v>435240</v>
      </c>
      <c r="E9" s="84">
        <v>44490</v>
      </c>
      <c r="F9" s="84">
        <v>194160</v>
      </c>
      <c r="G9" s="84">
        <v>28506</v>
      </c>
      <c r="H9" s="84">
        <f>86105+1500</f>
        <v>87605</v>
      </c>
      <c r="I9" s="84">
        <v>80479</v>
      </c>
    </row>
    <row r="10" spans="1:10" x14ac:dyDescent="0.25">
      <c r="A10" s="81"/>
      <c r="B10" s="82">
        <v>2000</v>
      </c>
      <c r="C10" s="664" t="s">
        <v>13</v>
      </c>
      <c r="D10" s="51">
        <f t="shared" si="0"/>
        <v>425537</v>
      </c>
      <c r="E10" s="90">
        <f>SUM(E11:E15)</f>
        <v>39725</v>
      </c>
      <c r="F10" s="90">
        <f t="shared" ref="F10:I10" si="1">SUM(F11:F15)</f>
        <v>209966</v>
      </c>
      <c r="G10" s="90">
        <f t="shared" si="1"/>
        <v>44885</v>
      </c>
      <c r="H10" s="90">
        <f t="shared" si="1"/>
        <v>55714</v>
      </c>
      <c r="I10" s="90">
        <f t="shared" si="1"/>
        <v>75247</v>
      </c>
    </row>
    <row r="11" spans="1:10" x14ac:dyDescent="0.25">
      <c r="A11" s="81"/>
      <c r="B11" s="82">
        <v>2100</v>
      </c>
      <c r="C11" s="664" t="s">
        <v>14</v>
      </c>
      <c r="D11" s="51">
        <f t="shared" si="0"/>
        <v>13160</v>
      </c>
      <c r="E11" s="90">
        <f>130+120</f>
        <v>250</v>
      </c>
      <c r="F11" s="90">
        <v>11000</v>
      </c>
      <c r="G11" s="90">
        <v>600</v>
      </c>
      <c r="H11" s="90"/>
      <c r="I11" s="90">
        <f>1160+150</f>
        <v>1310</v>
      </c>
    </row>
    <row r="12" spans="1:10" x14ac:dyDescent="0.25">
      <c r="A12" s="81"/>
      <c r="B12" s="82">
        <v>2200</v>
      </c>
      <c r="C12" s="664" t="s">
        <v>15</v>
      </c>
      <c r="D12" s="51">
        <f t="shared" si="0"/>
        <v>279980</v>
      </c>
      <c r="E12" s="90">
        <v>26904</v>
      </c>
      <c r="F12" s="90">
        <f>128681-465</f>
        <v>128216</v>
      </c>
      <c r="G12" s="90">
        <v>32715</v>
      </c>
      <c r="H12" s="90">
        <f>35532-1375</f>
        <v>34157</v>
      </c>
      <c r="I12" s="90">
        <f>58138-150</f>
        <v>57988</v>
      </c>
    </row>
    <row r="13" spans="1:10" ht="30" x14ac:dyDescent="0.25">
      <c r="A13" s="81"/>
      <c r="B13" s="82">
        <v>2300</v>
      </c>
      <c r="C13" s="663" t="s">
        <v>16</v>
      </c>
      <c r="D13" s="51">
        <f t="shared" si="0"/>
        <v>131154</v>
      </c>
      <c r="E13" s="90">
        <f>12613-120</f>
        <v>12493</v>
      </c>
      <c r="F13" s="90">
        <v>69900</v>
      </c>
      <c r="G13" s="90">
        <v>11510</v>
      </c>
      <c r="H13" s="90">
        <f>21581-129</f>
        <v>21452</v>
      </c>
      <c r="I13" s="90">
        <v>15799</v>
      </c>
    </row>
    <row r="14" spans="1:10" x14ac:dyDescent="0.25">
      <c r="A14" s="89"/>
      <c r="B14" s="42">
        <v>2400</v>
      </c>
      <c r="C14" s="664" t="s">
        <v>47</v>
      </c>
      <c r="D14" s="51">
        <f t="shared" si="0"/>
        <v>100</v>
      </c>
      <c r="E14" s="90"/>
      <c r="F14" s="90">
        <v>100</v>
      </c>
      <c r="G14" s="90"/>
      <c r="H14" s="90"/>
      <c r="I14" s="90"/>
    </row>
    <row r="15" spans="1:10" x14ac:dyDescent="0.25">
      <c r="A15" s="81"/>
      <c r="B15" s="82">
        <v>2500</v>
      </c>
      <c r="C15" s="664" t="s">
        <v>17</v>
      </c>
      <c r="D15" s="51">
        <f t="shared" si="0"/>
        <v>1143</v>
      </c>
      <c r="E15" s="90">
        <v>78</v>
      </c>
      <c r="F15" s="90">
        <v>750</v>
      </c>
      <c r="G15" s="90">
        <v>60</v>
      </c>
      <c r="H15" s="90">
        <v>105</v>
      </c>
      <c r="I15" s="90">
        <v>150</v>
      </c>
    </row>
    <row r="16" spans="1:10" x14ac:dyDescent="0.25">
      <c r="A16" s="81"/>
      <c r="B16" s="82">
        <v>5100</v>
      </c>
      <c r="C16" s="664" t="s">
        <v>22</v>
      </c>
      <c r="D16" s="51">
        <f t="shared" si="0"/>
        <v>165</v>
      </c>
      <c r="E16" s="90"/>
      <c r="F16" s="90">
        <v>165</v>
      </c>
      <c r="G16" s="90"/>
      <c r="H16" s="90"/>
      <c r="I16" s="90"/>
    </row>
    <row r="17" spans="1:21" x14ac:dyDescent="0.25">
      <c r="A17" s="81"/>
      <c r="B17" s="82">
        <v>5200</v>
      </c>
      <c r="C17" s="664" t="s">
        <v>23</v>
      </c>
      <c r="D17" s="51">
        <f t="shared" si="0"/>
        <v>186696</v>
      </c>
      <c r="E17" s="90">
        <f>9500-9500</f>
        <v>0</v>
      </c>
      <c r="F17" s="90">
        <f>22500+85000+4800+24000</f>
        <v>136300</v>
      </c>
      <c r="G17" s="90">
        <v>5000</v>
      </c>
      <c r="H17" s="90">
        <f>24590-900+3569</f>
        <v>27259</v>
      </c>
      <c r="I17" s="90">
        <f>10322+7815</f>
        <v>18137</v>
      </c>
    </row>
    <row r="18" spans="1:21" x14ac:dyDescent="0.25">
      <c r="A18" s="81"/>
      <c r="B18" s="82">
        <v>6000</v>
      </c>
      <c r="C18" s="665" t="s">
        <v>44</v>
      </c>
      <c r="D18" s="51">
        <f t="shared" si="0"/>
        <v>0</v>
      </c>
      <c r="E18" s="87">
        <f>SUM(E19:E21)</f>
        <v>0</v>
      </c>
      <c r="F18" s="87">
        <f t="shared" ref="F18:I18" si="2">SUM(F19:F21)</f>
        <v>0</v>
      </c>
      <c r="G18" s="87">
        <f t="shared" si="2"/>
        <v>0</v>
      </c>
      <c r="H18" s="87">
        <f t="shared" si="2"/>
        <v>0</v>
      </c>
      <c r="I18" s="87">
        <f t="shared" si="2"/>
        <v>0</v>
      </c>
    </row>
    <row r="19" spans="1:21" s="3" customFormat="1" x14ac:dyDescent="0.25">
      <c r="A19" s="81"/>
      <c r="B19" s="82">
        <v>6200</v>
      </c>
      <c r="C19" s="664" t="s">
        <v>24</v>
      </c>
      <c r="D19" s="51">
        <f t="shared" si="0"/>
        <v>0</v>
      </c>
      <c r="E19" s="90"/>
      <c r="F19" s="124"/>
      <c r="G19" s="124"/>
      <c r="H19" s="124"/>
      <c r="I19" s="124"/>
      <c r="J19" s="1"/>
    </row>
    <row r="20" spans="1:21" x14ac:dyDescent="0.25">
      <c r="A20" s="81"/>
      <c r="B20" s="82">
        <v>6300</v>
      </c>
      <c r="C20" s="665" t="s">
        <v>45</v>
      </c>
      <c r="D20" s="51">
        <f t="shared" si="0"/>
        <v>0</v>
      </c>
      <c r="E20" s="87"/>
      <c r="F20" s="87"/>
      <c r="G20" s="87"/>
      <c r="H20" s="87"/>
      <c r="I20" s="87"/>
    </row>
    <row r="21" spans="1:21" ht="18" customHeight="1" x14ac:dyDescent="0.25">
      <c r="A21" s="81"/>
      <c r="B21" s="82">
        <v>6400</v>
      </c>
      <c r="C21" s="665" t="s">
        <v>59</v>
      </c>
      <c r="D21" s="51">
        <f t="shared" si="0"/>
        <v>0</v>
      </c>
      <c r="E21" s="90"/>
      <c r="F21" s="87"/>
      <c r="G21" s="87"/>
      <c r="H21" s="87"/>
      <c r="I21" s="87"/>
    </row>
    <row r="22" spans="1:21" ht="15.75" thickBot="1" x14ac:dyDescent="0.3">
      <c r="A22" s="81"/>
      <c r="B22" s="666">
        <v>7200</v>
      </c>
      <c r="C22" s="667" t="s">
        <v>25</v>
      </c>
      <c r="D22" s="51">
        <f t="shared" si="0"/>
        <v>0</v>
      </c>
      <c r="E22" s="404"/>
      <c r="F22" s="409"/>
      <c r="G22" s="291"/>
      <c r="H22" s="291"/>
      <c r="I22" s="291"/>
    </row>
    <row r="23" spans="1:21" ht="16.5" thickBot="1" x14ac:dyDescent="0.3">
      <c r="A23" s="92"/>
      <c r="B23" s="659"/>
      <c r="C23" s="660" t="s">
        <v>26</v>
      </c>
      <c r="D23" s="51">
        <f t="shared" si="0"/>
        <v>2211344</v>
      </c>
      <c r="E23" s="371">
        <f>SUM(E8+E9+E10+E16+E17+E18+E22)</f>
        <v>209921</v>
      </c>
      <c r="F23" s="371">
        <f>SUM(F8+F9+F10+F16+F17+F18+F22)</f>
        <v>1075069</v>
      </c>
      <c r="G23" s="371">
        <f t="shared" ref="G23:I23" si="3">SUM(G8+G9+G10+G16+G17+G18+G22)</f>
        <v>150485</v>
      </c>
      <c r="H23" s="371">
        <f t="shared" si="3"/>
        <v>383630</v>
      </c>
      <c r="I23" s="371">
        <f t="shared" si="3"/>
        <v>392239</v>
      </c>
      <c r="P23" s="3"/>
    </row>
    <row r="24" spans="1:21" x14ac:dyDescent="0.25">
      <c r="C24" s="60" t="s">
        <v>51</v>
      </c>
      <c r="D24" s="657"/>
      <c r="E24" s="1">
        <v>112836</v>
      </c>
      <c r="F24" s="154">
        <v>832776</v>
      </c>
      <c r="G24" s="154">
        <v>148200</v>
      </c>
      <c r="H24" s="154">
        <v>290640</v>
      </c>
      <c r="I24" s="154">
        <v>377256</v>
      </c>
      <c r="K24" s="154"/>
      <c r="L24" s="154"/>
      <c r="P24" s="154"/>
      <c r="Q24" s="154"/>
      <c r="R24" s="154"/>
      <c r="S24" s="154"/>
      <c r="T24" s="154"/>
      <c r="U24" s="154"/>
    </row>
    <row r="25" spans="1:21" x14ac:dyDescent="0.25">
      <c r="C25" s="60" t="s">
        <v>49</v>
      </c>
      <c r="D25" s="657"/>
      <c r="F25" s="19">
        <v>24546</v>
      </c>
      <c r="G25" s="19"/>
      <c r="H25" s="19">
        <v>15522</v>
      </c>
      <c r="I25" s="19"/>
      <c r="P25" s="154"/>
      <c r="Q25" s="154"/>
      <c r="R25" s="154"/>
      <c r="S25" s="154"/>
      <c r="T25" s="154"/>
      <c r="U25" s="154"/>
    </row>
    <row r="26" spans="1:21" x14ac:dyDescent="0.25">
      <c r="C26" s="60" t="s">
        <v>151</v>
      </c>
      <c r="D26" s="657"/>
      <c r="F26" s="19">
        <f>1692+1692</f>
        <v>3384</v>
      </c>
      <c r="G26" s="19"/>
      <c r="H26" s="19">
        <v>1692</v>
      </c>
      <c r="I26" s="19">
        <v>1692</v>
      </c>
      <c r="P26" s="154"/>
      <c r="Q26" s="154"/>
      <c r="R26" s="154"/>
      <c r="S26" s="154"/>
      <c r="T26" s="154"/>
      <c r="U26" s="154"/>
    </row>
    <row r="27" spans="1:21" x14ac:dyDescent="0.25">
      <c r="C27" s="63" t="s">
        <v>38</v>
      </c>
      <c r="D27" s="656">
        <f>F27+G27+H27+I27+E27</f>
        <v>4019888</v>
      </c>
      <c r="E27" s="62">
        <f>SUM(E23:E26)</f>
        <v>322757</v>
      </c>
      <c r="F27" s="62">
        <f t="shared" ref="F27:I27" si="4">SUM(F23:F26)</f>
        <v>1935775</v>
      </c>
      <c r="G27" s="62">
        <f t="shared" si="4"/>
        <v>298685</v>
      </c>
      <c r="H27" s="62">
        <f t="shared" si="4"/>
        <v>691484</v>
      </c>
      <c r="I27" s="62">
        <f t="shared" si="4"/>
        <v>771187</v>
      </c>
      <c r="P27" s="154"/>
      <c r="Q27" s="154"/>
      <c r="R27" s="154"/>
      <c r="S27" s="154"/>
      <c r="T27" s="154"/>
      <c r="U27" s="154"/>
    </row>
    <row r="28" spans="1:21" x14ac:dyDescent="0.25">
      <c r="C28" s="63"/>
      <c r="D28" s="671"/>
      <c r="E28" s="671"/>
      <c r="F28" s="671"/>
      <c r="G28" s="671"/>
      <c r="H28" s="671"/>
      <c r="I28" s="671"/>
    </row>
    <row r="29" spans="1:21" x14ac:dyDescent="0.25">
      <c r="C29" s="5" t="s">
        <v>940</v>
      </c>
      <c r="D29" s="5"/>
    </row>
  </sheetData>
  <phoneticPr fontId="0" type="noConversion"/>
  <pageMargins left="0.74803149606299213" right="0.74803149606299213" top="0.39370078740157483" bottom="0.59055118110236227" header="0.31496062992125984" footer="0.51181102362204722"/>
  <pageSetup paperSize="9" scale="77" firstPageNumber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="99" zoomScaleNormal="99" workbookViewId="0">
      <selection activeCell="H1" sqref="H1"/>
    </sheetView>
  </sheetViews>
  <sheetFormatPr defaultColWidth="9.140625" defaultRowHeight="15" x14ac:dyDescent="0.25"/>
  <cols>
    <col min="1" max="1" width="9.140625" style="1" customWidth="1"/>
    <col min="2" max="2" width="47.140625" style="1" customWidth="1"/>
    <col min="3" max="3" width="10.85546875" style="1" customWidth="1"/>
    <col min="4" max="5" width="10.5703125" style="1" customWidth="1"/>
    <col min="6" max="6" width="12.140625" style="1" customWidth="1"/>
    <col min="7" max="7" width="12.85546875" style="1" customWidth="1"/>
    <col min="8" max="16384" width="9.140625" style="1"/>
  </cols>
  <sheetData>
    <row r="1" spans="1:8" x14ac:dyDescent="0.25">
      <c r="B1" s="72" t="s">
        <v>0</v>
      </c>
      <c r="C1" s="72"/>
      <c r="H1" s="2" t="s">
        <v>203</v>
      </c>
    </row>
    <row r="3" spans="1:8" x14ac:dyDescent="0.25">
      <c r="A3" s="3" t="s">
        <v>121</v>
      </c>
    </row>
    <row r="4" spans="1:8" x14ac:dyDescent="0.25">
      <c r="B4" s="3" t="s">
        <v>718</v>
      </c>
      <c r="C4" s="3"/>
      <c r="E4" s="136" t="s">
        <v>904</v>
      </c>
    </row>
    <row r="5" spans="1:8" x14ac:dyDescent="0.25">
      <c r="A5" s="71" t="s">
        <v>91</v>
      </c>
      <c r="B5" s="72"/>
      <c r="C5" s="72"/>
      <c r="D5" s="33" t="s">
        <v>77</v>
      </c>
      <c r="E5" s="33" t="s">
        <v>269</v>
      </c>
      <c r="F5" s="33" t="s">
        <v>78</v>
      </c>
      <c r="G5" s="33" t="s">
        <v>348</v>
      </c>
      <c r="H5" s="6" t="s">
        <v>693</v>
      </c>
    </row>
    <row r="6" spans="1:8" s="5" customFormat="1" ht="75.75" thickBot="1" x14ac:dyDescent="0.3">
      <c r="B6" s="73"/>
      <c r="C6" s="73"/>
      <c r="D6" s="739" t="s">
        <v>929</v>
      </c>
      <c r="E6" s="739" t="s">
        <v>240</v>
      </c>
      <c r="F6" s="739" t="s">
        <v>333</v>
      </c>
      <c r="G6" s="5" t="s">
        <v>304</v>
      </c>
      <c r="H6" s="5" t="s">
        <v>692</v>
      </c>
    </row>
    <row r="7" spans="1:8" ht="36" customHeight="1" thickBot="1" x14ac:dyDescent="0.35">
      <c r="A7" s="70" t="s">
        <v>7</v>
      </c>
      <c r="B7" s="669" t="s">
        <v>10</v>
      </c>
      <c r="C7" s="668" t="s">
        <v>130</v>
      </c>
      <c r="D7" s="36" t="s">
        <v>716</v>
      </c>
      <c r="E7" s="36" t="s">
        <v>716</v>
      </c>
      <c r="F7" s="36" t="s">
        <v>716</v>
      </c>
      <c r="G7" s="36" t="s">
        <v>716</v>
      </c>
      <c r="H7" s="36" t="s">
        <v>716</v>
      </c>
    </row>
    <row r="8" spans="1:8" x14ac:dyDescent="0.25">
      <c r="A8" s="101">
        <v>1100</v>
      </c>
      <c r="B8" s="97" t="s">
        <v>11</v>
      </c>
      <c r="C8" s="79">
        <f>D8+E8+F8+G8+H8</f>
        <v>1277588</v>
      </c>
      <c r="D8" s="80">
        <f>827782-10000</f>
        <v>817782</v>
      </c>
      <c r="E8" s="79">
        <v>228603</v>
      </c>
      <c r="F8" s="79">
        <f>205811-4500</f>
        <v>201311</v>
      </c>
      <c r="G8" s="79"/>
      <c r="H8" s="79">
        <v>29892</v>
      </c>
    </row>
    <row r="9" spans="1:8" ht="26.25" customHeight="1" x14ac:dyDescent="0.25">
      <c r="A9" s="42">
        <v>1200</v>
      </c>
      <c r="B9" s="43" t="s">
        <v>12</v>
      </c>
      <c r="C9" s="65">
        <f t="shared" ref="C9:C22" si="0">D9+E9+F9+G9+H9</f>
        <v>420390</v>
      </c>
      <c r="D9" s="84">
        <f>272859-2350</f>
        <v>270509</v>
      </c>
      <c r="E9" s="44">
        <v>74272</v>
      </c>
      <c r="F9" s="44">
        <v>66922</v>
      </c>
      <c r="G9" s="44"/>
      <c r="H9" s="44">
        <v>8687</v>
      </c>
    </row>
    <row r="10" spans="1:8" x14ac:dyDescent="0.25">
      <c r="A10" s="42">
        <v>2000</v>
      </c>
      <c r="B10" s="47" t="s">
        <v>13</v>
      </c>
      <c r="C10" s="65">
        <f t="shared" si="0"/>
        <v>859989</v>
      </c>
      <c r="D10" s="90">
        <f t="shared" ref="D10:H10" si="1">SUM(D11:D15)</f>
        <v>490889</v>
      </c>
      <c r="E10" s="65">
        <f t="shared" si="1"/>
        <v>164223</v>
      </c>
      <c r="F10" s="65">
        <f t="shared" si="1"/>
        <v>130998</v>
      </c>
      <c r="G10" s="65">
        <f t="shared" si="1"/>
        <v>56000</v>
      </c>
      <c r="H10" s="65">
        <f t="shared" si="1"/>
        <v>17879</v>
      </c>
    </row>
    <row r="11" spans="1:8" x14ac:dyDescent="0.25">
      <c r="A11" s="42">
        <v>2100</v>
      </c>
      <c r="B11" s="47" t="s">
        <v>14</v>
      </c>
      <c r="C11" s="65">
        <f t="shared" si="0"/>
        <v>8232</v>
      </c>
      <c r="D11" s="90">
        <v>5382</v>
      </c>
      <c r="E11" s="65"/>
      <c r="F11" s="65">
        <v>2850</v>
      </c>
      <c r="G11" s="65"/>
      <c r="H11" s="65"/>
    </row>
    <row r="12" spans="1:8" x14ac:dyDescent="0.25">
      <c r="A12" s="42">
        <v>2200</v>
      </c>
      <c r="B12" s="47" t="s">
        <v>15</v>
      </c>
      <c r="C12" s="65">
        <f t="shared" si="0"/>
        <v>665689</v>
      </c>
      <c r="D12" s="90">
        <f>376647-18635</f>
        <v>358012</v>
      </c>
      <c r="E12" s="65">
        <f>133886-913</f>
        <v>132973</v>
      </c>
      <c r="F12" s="65">
        <f>111918+4500</f>
        <v>116418</v>
      </c>
      <c r="G12" s="65">
        <v>56000</v>
      </c>
      <c r="H12" s="65">
        <v>2286</v>
      </c>
    </row>
    <row r="13" spans="1:8" ht="30" x14ac:dyDescent="0.25">
      <c r="A13" s="42">
        <v>2300</v>
      </c>
      <c r="B13" s="43" t="s">
        <v>16</v>
      </c>
      <c r="C13" s="65">
        <f t="shared" si="0"/>
        <v>154568</v>
      </c>
      <c r="D13" s="90">
        <f>101145+2350</f>
        <v>103495</v>
      </c>
      <c r="E13" s="65">
        <v>23950</v>
      </c>
      <c r="F13" s="65">
        <v>11530</v>
      </c>
      <c r="G13" s="65"/>
      <c r="H13" s="65">
        <v>15593</v>
      </c>
    </row>
    <row r="14" spans="1:8" x14ac:dyDescent="0.25">
      <c r="A14" s="42">
        <v>2400</v>
      </c>
      <c r="B14" s="50" t="s">
        <v>46</v>
      </c>
      <c r="C14" s="65">
        <f t="shared" si="0"/>
        <v>100</v>
      </c>
      <c r="D14" s="90"/>
      <c r="E14" s="65">
        <v>100</v>
      </c>
      <c r="F14" s="65"/>
      <c r="G14" s="65"/>
      <c r="H14" s="65"/>
    </row>
    <row r="15" spans="1:8" x14ac:dyDescent="0.25">
      <c r="A15" s="42">
        <v>2500</v>
      </c>
      <c r="B15" s="47" t="s">
        <v>17</v>
      </c>
      <c r="C15" s="65">
        <f t="shared" si="0"/>
        <v>31400</v>
      </c>
      <c r="D15" s="90">
        <v>24000</v>
      </c>
      <c r="E15" s="65">
        <v>7200</v>
      </c>
      <c r="F15" s="65">
        <v>200</v>
      </c>
      <c r="G15" s="65"/>
      <c r="H15" s="65"/>
    </row>
    <row r="16" spans="1:8" x14ac:dyDescent="0.25">
      <c r="A16" s="42">
        <v>5100</v>
      </c>
      <c r="B16" s="47" t="s">
        <v>22</v>
      </c>
      <c r="C16" s="65">
        <f t="shared" si="0"/>
        <v>0</v>
      </c>
      <c r="D16" s="90"/>
      <c r="E16" s="65"/>
      <c r="F16" s="65"/>
      <c r="G16" s="65"/>
      <c r="H16" s="65"/>
    </row>
    <row r="17" spans="1:13" x14ac:dyDescent="0.25">
      <c r="A17" s="42">
        <v>5200</v>
      </c>
      <c r="B17" s="47" t="s">
        <v>23</v>
      </c>
      <c r="C17" s="65">
        <f t="shared" si="0"/>
        <v>313236</v>
      </c>
      <c r="D17" s="90">
        <f>151064+28635</f>
        <v>179699</v>
      </c>
      <c r="E17" s="65">
        <f>15850+913</f>
        <v>16763</v>
      </c>
      <c r="F17" s="88">
        <f>8100+108674</f>
        <v>116774</v>
      </c>
      <c r="G17" s="88"/>
      <c r="H17" s="88"/>
    </row>
    <row r="18" spans="1:13" s="3" customFormat="1" x14ac:dyDescent="0.25">
      <c r="A18" s="42">
        <v>6000</v>
      </c>
      <c r="B18" s="43" t="s">
        <v>44</v>
      </c>
      <c r="C18" s="65">
        <f t="shared" si="0"/>
        <v>0</v>
      </c>
      <c r="D18" s="90">
        <f t="shared" ref="D18:H18" si="2">SUM(D19:D21)</f>
        <v>0</v>
      </c>
      <c r="E18" s="65">
        <f t="shared" si="2"/>
        <v>0</v>
      </c>
      <c r="F18" s="65">
        <f t="shared" si="2"/>
        <v>0</v>
      </c>
      <c r="G18" s="65">
        <f t="shared" si="2"/>
        <v>0</v>
      </c>
      <c r="H18" s="65">
        <f t="shared" si="2"/>
        <v>0</v>
      </c>
    </row>
    <row r="19" spans="1:13" x14ac:dyDescent="0.25">
      <c r="A19" s="42">
        <v>6200</v>
      </c>
      <c r="B19" s="47" t="s">
        <v>24</v>
      </c>
      <c r="C19" s="65">
        <f t="shared" si="0"/>
        <v>0</v>
      </c>
      <c r="D19" s="87"/>
      <c r="E19" s="88"/>
      <c r="F19" s="88"/>
      <c r="G19" s="88"/>
      <c r="H19" s="88"/>
    </row>
    <row r="20" spans="1:13" x14ac:dyDescent="0.25">
      <c r="A20" s="42">
        <v>6300</v>
      </c>
      <c r="B20" s="43" t="s">
        <v>45</v>
      </c>
      <c r="C20" s="65">
        <f t="shared" si="0"/>
        <v>0</v>
      </c>
      <c r="D20" s="87"/>
      <c r="E20" s="88"/>
      <c r="F20" s="88"/>
      <c r="G20" s="88"/>
      <c r="H20" s="88"/>
    </row>
    <row r="21" spans="1:13" ht="15" customHeight="1" x14ac:dyDescent="0.25">
      <c r="A21" s="42">
        <v>6400</v>
      </c>
      <c r="B21" s="43" t="s">
        <v>59</v>
      </c>
      <c r="C21" s="65">
        <f t="shared" si="0"/>
        <v>0</v>
      </c>
      <c r="D21" s="87"/>
      <c r="E21" s="88"/>
      <c r="F21" s="88"/>
      <c r="G21" s="88"/>
      <c r="H21" s="88"/>
    </row>
    <row r="22" spans="1:13" ht="15.75" thickBot="1" x14ac:dyDescent="0.3">
      <c r="A22" s="670">
        <v>7200</v>
      </c>
      <c r="B22" s="677" t="s">
        <v>25</v>
      </c>
      <c r="C22" s="65">
        <f t="shared" si="0"/>
        <v>0</v>
      </c>
      <c r="D22" s="87"/>
      <c r="E22" s="88"/>
      <c r="F22" s="88"/>
      <c r="G22" s="88"/>
      <c r="H22" s="88"/>
    </row>
    <row r="23" spans="1:13" ht="15.75" thickBot="1" x14ac:dyDescent="0.3">
      <c r="A23" s="100"/>
      <c r="B23" s="58" t="s">
        <v>26</v>
      </c>
      <c r="C23" s="678">
        <f>SUM(C8+C9+C10+C16+C17+C18+C22)</f>
        <v>2871203</v>
      </c>
      <c r="D23" s="59">
        <f>SUM(D8+D9+D10+D16+D17+D18+D22)</f>
        <v>1758879</v>
      </c>
      <c r="E23" s="59">
        <f t="shared" ref="E23:G23" si="3">SUM(E8+E9+E10+E16+E17+E18+E22)</f>
        <v>483861</v>
      </c>
      <c r="F23" s="59">
        <f t="shared" si="3"/>
        <v>516005</v>
      </c>
      <c r="G23" s="59">
        <f t="shared" si="3"/>
        <v>56000</v>
      </c>
      <c r="H23" s="59">
        <f t="shared" ref="H23" si="4">SUM(H8+H9+H10+H16+H17+H18+H22)</f>
        <v>56458</v>
      </c>
    </row>
    <row r="24" spans="1:13" x14ac:dyDescent="0.25">
      <c r="B24" s="60" t="s">
        <v>51</v>
      </c>
      <c r="C24" s="303"/>
      <c r="D24" s="154">
        <f>414948+210</f>
        <v>415158</v>
      </c>
      <c r="E24" s="154">
        <f>111720+45</f>
        <v>111765</v>
      </c>
      <c r="F24" s="1">
        <f>241176+84</f>
        <v>241260</v>
      </c>
      <c r="K24" s="154"/>
      <c r="L24" s="154"/>
      <c r="M24" s="154"/>
    </row>
    <row r="25" spans="1:13" x14ac:dyDescent="0.25">
      <c r="B25" s="60" t="s">
        <v>49</v>
      </c>
      <c r="C25" s="303"/>
      <c r="D25" s="154">
        <v>166568</v>
      </c>
      <c r="E25" s="154">
        <v>28534</v>
      </c>
      <c r="F25" s="19">
        <v>10297</v>
      </c>
      <c r="G25" s="19"/>
      <c r="H25" s="1">
        <v>76948</v>
      </c>
      <c r="K25" s="154"/>
      <c r="L25" s="154"/>
      <c r="M25" s="154"/>
    </row>
    <row r="26" spans="1:13" x14ac:dyDescent="0.25">
      <c r="B26" s="673" t="s">
        <v>643</v>
      </c>
      <c r="C26" s="303"/>
      <c r="D26" s="154"/>
      <c r="E26" s="154"/>
      <c r="F26" s="19"/>
      <c r="K26" s="154"/>
      <c r="L26" s="154"/>
      <c r="M26" s="154"/>
    </row>
    <row r="27" spans="1:13" x14ac:dyDescent="0.25">
      <c r="B27" s="60" t="s">
        <v>38</v>
      </c>
      <c r="C27" s="671">
        <f>D27+E27+F27+G27+H27</f>
        <v>3921733</v>
      </c>
      <c r="D27" s="62">
        <f>SUM(D23:D26)</f>
        <v>2340605</v>
      </c>
      <c r="E27" s="62">
        <f>SUM(E23:E26)</f>
        <v>624160</v>
      </c>
      <c r="F27" s="62">
        <f>SUM(F23:F26)</f>
        <v>767562</v>
      </c>
      <c r="G27" s="62">
        <f>SUM(G23:G26)</f>
        <v>56000</v>
      </c>
      <c r="H27" s="62">
        <f>SUM(H23:H26)</f>
        <v>133406</v>
      </c>
      <c r="K27" s="8"/>
      <c r="L27" s="8"/>
      <c r="M27" s="8"/>
    </row>
    <row r="28" spans="1:13" x14ac:dyDescent="0.25">
      <c r="B28" s="63"/>
      <c r="C28" s="63"/>
      <c r="D28" s="62"/>
      <c r="E28" s="62"/>
      <c r="F28" s="62"/>
      <c r="G28" s="62"/>
      <c r="H28" s="62"/>
    </row>
    <row r="29" spans="1:13" x14ac:dyDescent="0.25">
      <c r="B29" s="5" t="s">
        <v>916</v>
      </c>
      <c r="C29" s="5"/>
      <c r="E29" s="5"/>
      <c r="I29" s="154"/>
    </row>
    <row r="30" spans="1:13" x14ac:dyDescent="0.25">
      <c r="D30" s="136"/>
      <c r="E30" s="136"/>
      <c r="F30" s="136"/>
    </row>
  </sheetData>
  <phoneticPr fontId="0" type="noConversion"/>
  <pageMargins left="0.74803149606299213" right="0.74803149606299213" top="0.39370078740157483" bottom="0.59055118110236227" header="0.31496062992125984" footer="0.51181102362204722"/>
  <pageSetup paperSize="9" scale="72" firstPageNumber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zoomScale="89" zoomScaleNormal="89" workbookViewId="0">
      <pane xSplit="1" topLeftCell="B1" activePane="topRight" state="frozen"/>
      <selection activeCell="A4" sqref="A4"/>
      <selection pane="topRight" activeCell="L7" sqref="L7"/>
    </sheetView>
  </sheetViews>
  <sheetFormatPr defaultColWidth="9.140625" defaultRowHeight="15" x14ac:dyDescent="0.25"/>
  <cols>
    <col min="1" max="1" width="8.5703125" style="1" customWidth="1"/>
    <col min="2" max="2" width="42.85546875" style="5" customWidth="1"/>
    <col min="3" max="3" width="12.5703125" style="1" customWidth="1"/>
    <col min="4" max="4" width="13.85546875" style="1" customWidth="1"/>
    <col min="5" max="5" width="14.140625" style="1" customWidth="1"/>
    <col min="6" max="6" width="13.85546875" style="1" customWidth="1"/>
    <col min="7" max="8" width="12.5703125" style="1" customWidth="1"/>
    <col min="9" max="9" width="12" style="1" customWidth="1"/>
    <col min="10" max="10" width="12.5703125" style="1" customWidth="1"/>
    <col min="11" max="227" width="9.140625" style="1"/>
    <col min="228" max="228" width="8.5703125" style="1" customWidth="1"/>
    <col min="229" max="229" width="7.140625" style="1" customWidth="1"/>
    <col min="230" max="230" width="42.140625" style="1" customWidth="1"/>
    <col min="231" max="232" width="9.140625" style="1" customWidth="1"/>
    <col min="233" max="233" width="8.85546875" style="1" customWidth="1"/>
    <col min="234" max="235" width="8.42578125" style="1" customWidth="1"/>
    <col min="236" max="236" width="8.140625" style="1" customWidth="1"/>
    <col min="237" max="237" width="11.140625" style="1" customWidth="1"/>
    <col min="238" max="238" width="8.5703125" style="1" customWidth="1"/>
    <col min="239" max="239" width="9.140625" style="1" customWidth="1"/>
    <col min="240" max="240" width="9.5703125" style="1" customWidth="1"/>
    <col min="241" max="241" width="8.85546875" style="1" customWidth="1"/>
    <col min="242" max="242" width="8.42578125" style="1" customWidth="1"/>
    <col min="243" max="483" width="9.140625" style="1"/>
    <col min="484" max="484" width="8.5703125" style="1" customWidth="1"/>
    <col min="485" max="485" width="7.140625" style="1" customWidth="1"/>
    <col min="486" max="486" width="42.140625" style="1" customWidth="1"/>
    <col min="487" max="488" width="9.140625" style="1" customWidth="1"/>
    <col min="489" max="489" width="8.85546875" style="1" customWidth="1"/>
    <col min="490" max="491" width="8.42578125" style="1" customWidth="1"/>
    <col min="492" max="492" width="8.140625" style="1" customWidth="1"/>
    <col min="493" max="493" width="11.140625" style="1" customWidth="1"/>
    <col min="494" max="494" width="8.5703125" style="1" customWidth="1"/>
    <col min="495" max="495" width="9.140625" style="1" customWidth="1"/>
    <col min="496" max="496" width="9.5703125" style="1" customWidth="1"/>
    <col min="497" max="497" width="8.85546875" style="1" customWidth="1"/>
    <col min="498" max="498" width="8.42578125" style="1" customWidth="1"/>
    <col min="499" max="739" width="9.140625" style="1"/>
    <col min="740" max="740" width="8.5703125" style="1" customWidth="1"/>
    <col min="741" max="741" width="7.140625" style="1" customWidth="1"/>
    <col min="742" max="742" width="42.140625" style="1" customWidth="1"/>
    <col min="743" max="744" width="9.140625" style="1" customWidth="1"/>
    <col min="745" max="745" width="8.85546875" style="1" customWidth="1"/>
    <col min="746" max="747" width="8.42578125" style="1" customWidth="1"/>
    <col min="748" max="748" width="8.140625" style="1" customWidth="1"/>
    <col min="749" max="749" width="11.140625" style="1" customWidth="1"/>
    <col min="750" max="750" width="8.5703125" style="1" customWidth="1"/>
    <col min="751" max="751" width="9.140625" style="1" customWidth="1"/>
    <col min="752" max="752" width="9.5703125" style="1" customWidth="1"/>
    <col min="753" max="753" width="8.85546875" style="1" customWidth="1"/>
    <col min="754" max="754" width="8.42578125" style="1" customWidth="1"/>
    <col min="755" max="995" width="9.140625" style="1"/>
    <col min="996" max="996" width="8.5703125" style="1" customWidth="1"/>
    <col min="997" max="997" width="7.140625" style="1" customWidth="1"/>
    <col min="998" max="998" width="42.140625" style="1" customWidth="1"/>
    <col min="999" max="1000" width="9.140625" style="1" customWidth="1"/>
    <col min="1001" max="1001" width="8.85546875" style="1" customWidth="1"/>
    <col min="1002" max="1003" width="8.42578125" style="1" customWidth="1"/>
    <col min="1004" max="1004" width="8.140625" style="1" customWidth="1"/>
    <col min="1005" max="1005" width="11.140625" style="1" customWidth="1"/>
    <col min="1006" max="1006" width="8.5703125" style="1" customWidth="1"/>
    <col min="1007" max="1007" width="9.140625" style="1" customWidth="1"/>
    <col min="1008" max="1008" width="9.5703125" style="1" customWidth="1"/>
    <col min="1009" max="1009" width="8.85546875" style="1" customWidth="1"/>
    <col min="1010" max="1010" width="8.42578125" style="1" customWidth="1"/>
    <col min="1011" max="1251" width="9.140625" style="1"/>
    <col min="1252" max="1252" width="8.5703125" style="1" customWidth="1"/>
    <col min="1253" max="1253" width="7.140625" style="1" customWidth="1"/>
    <col min="1254" max="1254" width="42.140625" style="1" customWidth="1"/>
    <col min="1255" max="1256" width="9.140625" style="1" customWidth="1"/>
    <col min="1257" max="1257" width="8.85546875" style="1" customWidth="1"/>
    <col min="1258" max="1259" width="8.42578125" style="1" customWidth="1"/>
    <col min="1260" max="1260" width="8.140625" style="1" customWidth="1"/>
    <col min="1261" max="1261" width="11.140625" style="1" customWidth="1"/>
    <col min="1262" max="1262" width="8.5703125" style="1" customWidth="1"/>
    <col min="1263" max="1263" width="9.140625" style="1" customWidth="1"/>
    <col min="1264" max="1264" width="9.5703125" style="1" customWidth="1"/>
    <col min="1265" max="1265" width="8.85546875" style="1" customWidth="1"/>
    <col min="1266" max="1266" width="8.42578125" style="1" customWidth="1"/>
    <col min="1267" max="1507" width="9.140625" style="1"/>
    <col min="1508" max="1508" width="8.5703125" style="1" customWidth="1"/>
    <col min="1509" max="1509" width="7.140625" style="1" customWidth="1"/>
    <col min="1510" max="1510" width="42.140625" style="1" customWidth="1"/>
    <col min="1511" max="1512" width="9.140625" style="1" customWidth="1"/>
    <col min="1513" max="1513" width="8.85546875" style="1" customWidth="1"/>
    <col min="1514" max="1515" width="8.42578125" style="1" customWidth="1"/>
    <col min="1516" max="1516" width="8.140625" style="1" customWidth="1"/>
    <col min="1517" max="1517" width="11.140625" style="1" customWidth="1"/>
    <col min="1518" max="1518" width="8.5703125" style="1" customWidth="1"/>
    <col min="1519" max="1519" width="9.140625" style="1" customWidth="1"/>
    <col min="1520" max="1520" width="9.5703125" style="1" customWidth="1"/>
    <col min="1521" max="1521" width="8.85546875" style="1" customWidth="1"/>
    <col min="1522" max="1522" width="8.42578125" style="1" customWidth="1"/>
    <col min="1523" max="1763" width="9.140625" style="1"/>
    <col min="1764" max="1764" width="8.5703125" style="1" customWidth="1"/>
    <col min="1765" max="1765" width="7.140625" style="1" customWidth="1"/>
    <col min="1766" max="1766" width="42.140625" style="1" customWidth="1"/>
    <col min="1767" max="1768" width="9.140625" style="1" customWidth="1"/>
    <col min="1769" max="1769" width="8.85546875" style="1" customWidth="1"/>
    <col min="1770" max="1771" width="8.42578125" style="1" customWidth="1"/>
    <col min="1772" max="1772" width="8.140625" style="1" customWidth="1"/>
    <col min="1773" max="1773" width="11.140625" style="1" customWidth="1"/>
    <col min="1774" max="1774" width="8.5703125" style="1" customWidth="1"/>
    <col min="1775" max="1775" width="9.140625" style="1" customWidth="1"/>
    <col min="1776" max="1776" width="9.5703125" style="1" customWidth="1"/>
    <col min="1777" max="1777" width="8.85546875" style="1" customWidth="1"/>
    <col min="1778" max="1778" width="8.42578125" style="1" customWidth="1"/>
    <col min="1779" max="2019" width="9.140625" style="1"/>
    <col min="2020" max="2020" width="8.5703125" style="1" customWidth="1"/>
    <col min="2021" max="2021" width="7.140625" style="1" customWidth="1"/>
    <col min="2022" max="2022" width="42.140625" style="1" customWidth="1"/>
    <col min="2023" max="2024" width="9.140625" style="1" customWidth="1"/>
    <col min="2025" max="2025" width="8.85546875" style="1" customWidth="1"/>
    <col min="2026" max="2027" width="8.42578125" style="1" customWidth="1"/>
    <col min="2028" max="2028" width="8.140625" style="1" customWidth="1"/>
    <col min="2029" max="2029" width="11.140625" style="1" customWidth="1"/>
    <col min="2030" max="2030" width="8.5703125" style="1" customWidth="1"/>
    <col min="2031" max="2031" width="9.140625" style="1" customWidth="1"/>
    <col min="2032" max="2032" width="9.5703125" style="1" customWidth="1"/>
    <col min="2033" max="2033" width="8.85546875" style="1" customWidth="1"/>
    <col min="2034" max="2034" width="8.42578125" style="1" customWidth="1"/>
    <col min="2035" max="2275" width="9.140625" style="1"/>
    <col min="2276" max="2276" width="8.5703125" style="1" customWidth="1"/>
    <col min="2277" max="2277" width="7.140625" style="1" customWidth="1"/>
    <col min="2278" max="2278" width="42.140625" style="1" customWidth="1"/>
    <col min="2279" max="2280" width="9.140625" style="1" customWidth="1"/>
    <col min="2281" max="2281" width="8.85546875" style="1" customWidth="1"/>
    <col min="2282" max="2283" width="8.42578125" style="1" customWidth="1"/>
    <col min="2284" max="2284" width="8.140625" style="1" customWidth="1"/>
    <col min="2285" max="2285" width="11.140625" style="1" customWidth="1"/>
    <col min="2286" max="2286" width="8.5703125" style="1" customWidth="1"/>
    <col min="2287" max="2287" width="9.140625" style="1" customWidth="1"/>
    <col min="2288" max="2288" width="9.5703125" style="1" customWidth="1"/>
    <col min="2289" max="2289" width="8.85546875" style="1" customWidth="1"/>
    <col min="2290" max="2290" width="8.42578125" style="1" customWidth="1"/>
    <col min="2291" max="2531" width="9.140625" style="1"/>
    <col min="2532" max="2532" width="8.5703125" style="1" customWidth="1"/>
    <col min="2533" max="2533" width="7.140625" style="1" customWidth="1"/>
    <col min="2534" max="2534" width="42.140625" style="1" customWidth="1"/>
    <col min="2535" max="2536" width="9.140625" style="1" customWidth="1"/>
    <col min="2537" max="2537" width="8.85546875" style="1" customWidth="1"/>
    <col min="2538" max="2539" width="8.42578125" style="1" customWidth="1"/>
    <col min="2540" max="2540" width="8.140625" style="1" customWidth="1"/>
    <col min="2541" max="2541" width="11.140625" style="1" customWidth="1"/>
    <col min="2542" max="2542" width="8.5703125" style="1" customWidth="1"/>
    <col min="2543" max="2543" width="9.140625" style="1" customWidth="1"/>
    <col min="2544" max="2544" width="9.5703125" style="1" customWidth="1"/>
    <col min="2545" max="2545" width="8.85546875" style="1" customWidth="1"/>
    <col min="2546" max="2546" width="8.42578125" style="1" customWidth="1"/>
    <col min="2547" max="2787" width="9.140625" style="1"/>
    <col min="2788" max="2788" width="8.5703125" style="1" customWidth="1"/>
    <col min="2789" max="2789" width="7.140625" style="1" customWidth="1"/>
    <col min="2790" max="2790" width="42.140625" style="1" customWidth="1"/>
    <col min="2791" max="2792" width="9.140625" style="1" customWidth="1"/>
    <col min="2793" max="2793" width="8.85546875" style="1" customWidth="1"/>
    <col min="2794" max="2795" width="8.42578125" style="1" customWidth="1"/>
    <col min="2796" max="2796" width="8.140625" style="1" customWidth="1"/>
    <col min="2797" max="2797" width="11.140625" style="1" customWidth="1"/>
    <col min="2798" max="2798" width="8.5703125" style="1" customWidth="1"/>
    <col min="2799" max="2799" width="9.140625" style="1" customWidth="1"/>
    <col min="2800" max="2800" width="9.5703125" style="1" customWidth="1"/>
    <col min="2801" max="2801" width="8.85546875" style="1" customWidth="1"/>
    <col min="2802" max="2802" width="8.42578125" style="1" customWidth="1"/>
    <col min="2803" max="3043" width="9.140625" style="1"/>
    <col min="3044" max="3044" width="8.5703125" style="1" customWidth="1"/>
    <col min="3045" max="3045" width="7.140625" style="1" customWidth="1"/>
    <col min="3046" max="3046" width="42.140625" style="1" customWidth="1"/>
    <col min="3047" max="3048" width="9.140625" style="1" customWidth="1"/>
    <col min="3049" max="3049" width="8.85546875" style="1" customWidth="1"/>
    <col min="3050" max="3051" width="8.42578125" style="1" customWidth="1"/>
    <col min="3052" max="3052" width="8.140625" style="1" customWidth="1"/>
    <col min="3053" max="3053" width="11.140625" style="1" customWidth="1"/>
    <col min="3054" max="3054" width="8.5703125" style="1" customWidth="1"/>
    <col min="3055" max="3055" width="9.140625" style="1" customWidth="1"/>
    <col min="3056" max="3056" width="9.5703125" style="1" customWidth="1"/>
    <col min="3057" max="3057" width="8.85546875" style="1" customWidth="1"/>
    <col min="3058" max="3058" width="8.42578125" style="1" customWidth="1"/>
    <col min="3059" max="3299" width="9.140625" style="1"/>
    <col min="3300" max="3300" width="8.5703125" style="1" customWidth="1"/>
    <col min="3301" max="3301" width="7.140625" style="1" customWidth="1"/>
    <col min="3302" max="3302" width="42.140625" style="1" customWidth="1"/>
    <col min="3303" max="3304" width="9.140625" style="1" customWidth="1"/>
    <col min="3305" max="3305" width="8.85546875" style="1" customWidth="1"/>
    <col min="3306" max="3307" width="8.42578125" style="1" customWidth="1"/>
    <col min="3308" max="3308" width="8.140625" style="1" customWidth="1"/>
    <col min="3309" max="3309" width="11.140625" style="1" customWidth="1"/>
    <col min="3310" max="3310" width="8.5703125" style="1" customWidth="1"/>
    <col min="3311" max="3311" width="9.140625" style="1" customWidth="1"/>
    <col min="3312" max="3312" width="9.5703125" style="1" customWidth="1"/>
    <col min="3313" max="3313" width="8.85546875" style="1" customWidth="1"/>
    <col min="3314" max="3314" width="8.42578125" style="1" customWidth="1"/>
    <col min="3315" max="3555" width="9.140625" style="1"/>
    <col min="3556" max="3556" width="8.5703125" style="1" customWidth="1"/>
    <col min="3557" max="3557" width="7.140625" style="1" customWidth="1"/>
    <col min="3558" max="3558" width="42.140625" style="1" customWidth="1"/>
    <col min="3559" max="3560" width="9.140625" style="1" customWidth="1"/>
    <col min="3561" max="3561" width="8.85546875" style="1" customWidth="1"/>
    <col min="3562" max="3563" width="8.42578125" style="1" customWidth="1"/>
    <col min="3564" max="3564" width="8.140625" style="1" customWidth="1"/>
    <col min="3565" max="3565" width="11.140625" style="1" customWidth="1"/>
    <col min="3566" max="3566" width="8.5703125" style="1" customWidth="1"/>
    <col min="3567" max="3567" width="9.140625" style="1" customWidth="1"/>
    <col min="3568" max="3568" width="9.5703125" style="1" customWidth="1"/>
    <col min="3569" max="3569" width="8.85546875" style="1" customWidth="1"/>
    <col min="3570" max="3570" width="8.42578125" style="1" customWidth="1"/>
    <col min="3571" max="3811" width="9.140625" style="1"/>
    <col min="3812" max="3812" width="8.5703125" style="1" customWidth="1"/>
    <col min="3813" max="3813" width="7.140625" style="1" customWidth="1"/>
    <col min="3814" max="3814" width="42.140625" style="1" customWidth="1"/>
    <col min="3815" max="3816" width="9.140625" style="1" customWidth="1"/>
    <col min="3817" max="3817" width="8.85546875" style="1" customWidth="1"/>
    <col min="3818" max="3819" width="8.42578125" style="1" customWidth="1"/>
    <col min="3820" max="3820" width="8.140625" style="1" customWidth="1"/>
    <col min="3821" max="3821" width="11.140625" style="1" customWidth="1"/>
    <col min="3822" max="3822" width="8.5703125" style="1" customWidth="1"/>
    <col min="3823" max="3823" width="9.140625" style="1" customWidth="1"/>
    <col min="3824" max="3824" width="9.5703125" style="1" customWidth="1"/>
    <col min="3825" max="3825" width="8.85546875" style="1" customWidth="1"/>
    <col min="3826" max="3826" width="8.42578125" style="1" customWidth="1"/>
    <col min="3827" max="4067" width="9.140625" style="1"/>
    <col min="4068" max="4068" width="8.5703125" style="1" customWidth="1"/>
    <col min="4069" max="4069" width="7.140625" style="1" customWidth="1"/>
    <col min="4070" max="4070" width="42.140625" style="1" customWidth="1"/>
    <col min="4071" max="4072" width="9.140625" style="1" customWidth="1"/>
    <col min="4073" max="4073" width="8.85546875" style="1" customWidth="1"/>
    <col min="4074" max="4075" width="8.42578125" style="1" customWidth="1"/>
    <col min="4076" max="4076" width="8.140625" style="1" customWidth="1"/>
    <col min="4077" max="4077" width="11.140625" style="1" customWidth="1"/>
    <col min="4078" max="4078" width="8.5703125" style="1" customWidth="1"/>
    <col min="4079" max="4079" width="9.140625" style="1" customWidth="1"/>
    <col min="4080" max="4080" width="9.5703125" style="1" customWidth="1"/>
    <col min="4081" max="4081" width="8.85546875" style="1" customWidth="1"/>
    <col min="4082" max="4082" width="8.42578125" style="1" customWidth="1"/>
    <col min="4083" max="4323" width="9.140625" style="1"/>
    <col min="4324" max="4324" width="8.5703125" style="1" customWidth="1"/>
    <col min="4325" max="4325" width="7.140625" style="1" customWidth="1"/>
    <col min="4326" max="4326" width="42.140625" style="1" customWidth="1"/>
    <col min="4327" max="4328" width="9.140625" style="1" customWidth="1"/>
    <col min="4329" max="4329" width="8.85546875" style="1" customWidth="1"/>
    <col min="4330" max="4331" width="8.42578125" style="1" customWidth="1"/>
    <col min="4332" max="4332" width="8.140625" style="1" customWidth="1"/>
    <col min="4333" max="4333" width="11.140625" style="1" customWidth="1"/>
    <col min="4334" max="4334" width="8.5703125" style="1" customWidth="1"/>
    <col min="4335" max="4335" width="9.140625" style="1" customWidth="1"/>
    <col min="4336" max="4336" width="9.5703125" style="1" customWidth="1"/>
    <col min="4337" max="4337" width="8.85546875" style="1" customWidth="1"/>
    <col min="4338" max="4338" width="8.42578125" style="1" customWidth="1"/>
    <col min="4339" max="4579" width="9.140625" style="1"/>
    <col min="4580" max="4580" width="8.5703125" style="1" customWidth="1"/>
    <col min="4581" max="4581" width="7.140625" style="1" customWidth="1"/>
    <col min="4582" max="4582" width="42.140625" style="1" customWidth="1"/>
    <col min="4583" max="4584" width="9.140625" style="1" customWidth="1"/>
    <col min="4585" max="4585" width="8.85546875" style="1" customWidth="1"/>
    <col min="4586" max="4587" width="8.42578125" style="1" customWidth="1"/>
    <col min="4588" max="4588" width="8.140625" style="1" customWidth="1"/>
    <col min="4589" max="4589" width="11.140625" style="1" customWidth="1"/>
    <col min="4590" max="4590" width="8.5703125" style="1" customWidth="1"/>
    <col min="4591" max="4591" width="9.140625" style="1" customWidth="1"/>
    <col min="4592" max="4592" width="9.5703125" style="1" customWidth="1"/>
    <col min="4593" max="4593" width="8.85546875" style="1" customWidth="1"/>
    <col min="4594" max="4594" width="8.42578125" style="1" customWidth="1"/>
    <col min="4595" max="4835" width="9.140625" style="1"/>
    <col min="4836" max="4836" width="8.5703125" style="1" customWidth="1"/>
    <col min="4837" max="4837" width="7.140625" style="1" customWidth="1"/>
    <col min="4838" max="4838" width="42.140625" style="1" customWidth="1"/>
    <col min="4839" max="4840" width="9.140625" style="1" customWidth="1"/>
    <col min="4841" max="4841" width="8.85546875" style="1" customWidth="1"/>
    <col min="4842" max="4843" width="8.42578125" style="1" customWidth="1"/>
    <col min="4844" max="4844" width="8.140625" style="1" customWidth="1"/>
    <col min="4845" max="4845" width="11.140625" style="1" customWidth="1"/>
    <col min="4846" max="4846" width="8.5703125" style="1" customWidth="1"/>
    <col min="4847" max="4847" width="9.140625" style="1" customWidth="1"/>
    <col min="4848" max="4848" width="9.5703125" style="1" customWidth="1"/>
    <col min="4849" max="4849" width="8.85546875" style="1" customWidth="1"/>
    <col min="4850" max="4850" width="8.42578125" style="1" customWidth="1"/>
    <col min="4851" max="5091" width="9.140625" style="1"/>
    <col min="5092" max="5092" width="8.5703125" style="1" customWidth="1"/>
    <col min="5093" max="5093" width="7.140625" style="1" customWidth="1"/>
    <col min="5094" max="5094" width="42.140625" style="1" customWidth="1"/>
    <col min="5095" max="5096" width="9.140625" style="1" customWidth="1"/>
    <col min="5097" max="5097" width="8.85546875" style="1" customWidth="1"/>
    <col min="5098" max="5099" width="8.42578125" style="1" customWidth="1"/>
    <col min="5100" max="5100" width="8.140625" style="1" customWidth="1"/>
    <col min="5101" max="5101" width="11.140625" style="1" customWidth="1"/>
    <col min="5102" max="5102" width="8.5703125" style="1" customWidth="1"/>
    <col min="5103" max="5103" width="9.140625" style="1" customWidth="1"/>
    <col min="5104" max="5104" width="9.5703125" style="1" customWidth="1"/>
    <col min="5105" max="5105" width="8.85546875" style="1" customWidth="1"/>
    <col min="5106" max="5106" width="8.42578125" style="1" customWidth="1"/>
    <col min="5107" max="5347" width="9.140625" style="1"/>
    <col min="5348" max="5348" width="8.5703125" style="1" customWidth="1"/>
    <col min="5349" max="5349" width="7.140625" style="1" customWidth="1"/>
    <col min="5350" max="5350" width="42.140625" style="1" customWidth="1"/>
    <col min="5351" max="5352" width="9.140625" style="1" customWidth="1"/>
    <col min="5353" max="5353" width="8.85546875" style="1" customWidth="1"/>
    <col min="5354" max="5355" width="8.42578125" style="1" customWidth="1"/>
    <col min="5356" max="5356" width="8.140625" style="1" customWidth="1"/>
    <col min="5357" max="5357" width="11.140625" style="1" customWidth="1"/>
    <col min="5358" max="5358" width="8.5703125" style="1" customWidth="1"/>
    <col min="5359" max="5359" width="9.140625" style="1" customWidth="1"/>
    <col min="5360" max="5360" width="9.5703125" style="1" customWidth="1"/>
    <col min="5361" max="5361" width="8.85546875" style="1" customWidth="1"/>
    <col min="5362" max="5362" width="8.42578125" style="1" customWidth="1"/>
    <col min="5363" max="5603" width="9.140625" style="1"/>
    <col min="5604" max="5604" width="8.5703125" style="1" customWidth="1"/>
    <col min="5605" max="5605" width="7.140625" style="1" customWidth="1"/>
    <col min="5606" max="5606" width="42.140625" style="1" customWidth="1"/>
    <col min="5607" max="5608" width="9.140625" style="1" customWidth="1"/>
    <col min="5609" max="5609" width="8.85546875" style="1" customWidth="1"/>
    <col min="5610" max="5611" width="8.42578125" style="1" customWidth="1"/>
    <col min="5612" max="5612" width="8.140625" style="1" customWidth="1"/>
    <col min="5613" max="5613" width="11.140625" style="1" customWidth="1"/>
    <col min="5614" max="5614" width="8.5703125" style="1" customWidth="1"/>
    <col min="5615" max="5615" width="9.140625" style="1" customWidth="1"/>
    <col min="5616" max="5616" width="9.5703125" style="1" customWidth="1"/>
    <col min="5617" max="5617" width="8.85546875" style="1" customWidth="1"/>
    <col min="5618" max="5618" width="8.42578125" style="1" customWidth="1"/>
    <col min="5619" max="5859" width="9.140625" style="1"/>
    <col min="5860" max="5860" width="8.5703125" style="1" customWidth="1"/>
    <col min="5861" max="5861" width="7.140625" style="1" customWidth="1"/>
    <col min="5862" max="5862" width="42.140625" style="1" customWidth="1"/>
    <col min="5863" max="5864" width="9.140625" style="1" customWidth="1"/>
    <col min="5865" max="5865" width="8.85546875" style="1" customWidth="1"/>
    <col min="5866" max="5867" width="8.42578125" style="1" customWidth="1"/>
    <col min="5868" max="5868" width="8.140625" style="1" customWidth="1"/>
    <col min="5869" max="5869" width="11.140625" style="1" customWidth="1"/>
    <col min="5870" max="5870" width="8.5703125" style="1" customWidth="1"/>
    <col min="5871" max="5871" width="9.140625" style="1" customWidth="1"/>
    <col min="5872" max="5872" width="9.5703125" style="1" customWidth="1"/>
    <col min="5873" max="5873" width="8.85546875" style="1" customWidth="1"/>
    <col min="5874" max="5874" width="8.42578125" style="1" customWidth="1"/>
    <col min="5875" max="6115" width="9.140625" style="1"/>
    <col min="6116" max="6116" width="8.5703125" style="1" customWidth="1"/>
    <col min="6117" max="6117" width="7.140625" style="1" customWidth="1"/>
    <col min="6118" max="6118" width="42.140625" style="1" customWidth="1"/>
    <col min="6119" max="6120" width="9.140625" style="1" customWidth="1"/>
    <col min="6121" max="6121" width="8.85546875" style="1" customWidth="1"/>
    <col min="6122" max="6123" width="8.42578125" style="1" customWidth="1"/>
    <col min="6124" max="6124" width="8.140625" style="1" customWidth="1"/>
    <col min="6125" max="6125" width="11.140625" style="1" customWidth="1"/>
    <col min="6126" max="6126" width="8.5703125" style="1" customWidth="1"/>
    <col min="6127" max="6127" width="9.140625" style="1" customWidth="1"/>
    <col min="6128" max="6128" width="9.5703125" style="1" customWidth="1"/>
    <col min="6129" max="6129" width="8.85546875" style="1" customWidth="1"/>
    <col min="6130" max="6130" width="8.42578125" style="1" customWidth="1"/>
    <col min="6131" max="6371" width="9.140625" style="1"/>
    <col min="6372" max="6372" width="8.5703125" style="1" customWidth="1"/>
    <col min="6373" max="6373" width="7.140625" style="1" customWidth="1"/>
    <col min="6374" max="6374" width="42.140625" style="1" customWidth="1"/>
    <col min="6375" max="6376" width="9.140625" style="1" customWidth="1"/>
    <col min="6377" max="6377" width="8.85546875" style="1" customWidth="1"/>
    <col min="6378" max="6379" width="8.42578125" style="1" customWidth="1"/>
    <col min="6380" max="6380" width="8.140625" style="1" customWidth="1"/>
    <col min="6381" max="6381" width="11.140625" style="1" customWidth="1"/>
    <col min="6382" max="6382" width="8.5703125" style="1" customWidth="1"/>
    <col min="6383" max="6383" width="9.140625" style="1" customWidth="1"/>
    <col min="6384" max="6384" width="9.5703125" style="1" customWidth="1"/>
    <col min="6385" max="6385" width="8.85546875" style="1" customWidth="1"/>
    <col min="6386" max="6386" width="8.42578125" style="1" customWidth="1"/>
    <col min="6387" max="6627" width="9.140625" style="1"/>
    <col min="6628" max="6628" width="8.5703125" style="1" customWidth="1"/>
    <col min="6629" max="6629" width="7.140625" style="1" customWidth="1"/>
    <col min="6630" max="6630" width="42.140625" style="1" customWidth="1"/>
    <col min="6631" max="6632" width="9.140625" style="1" customWidth="1"/>
    <col min="6633" max="6633" width="8.85546875" style="1" customWidth="1"/>
    <col min="6634" max="6635" width="8.42578125" style="1" customWidth="1"/>
    <col min="6636" max="6636" width="8.140625" style="1" customWidth="1"/>
    <col min="6637" max="6637" width="11.140625" style="1" customWidth="1"/>
    <col min="6638" max="6638" width="8.5703125" style="1" customWidth="1"/>
    <col min="6639" max="6639" width="9.140625" style="1" customWidth="1"/>
    <col min="6640" max="6640" width="9.5703125" style="1" customWidth="1"/>
    <col min="6641" max="6641" width="8.85546875" style="1" customWidth="1"/>
    <col min="6642" max="6642" width="8.42578125" style="1" customWidth="1"/>
    <col min="6643" max="6883" width="9.140625" style="1"/>
    <col min="6884" max="6884" width="8.5703125" style="1" customWidth="1"/>
    <col min="6885" max="6885" width="7.140625" style="1" customWidth="1"/>
    <col min="6886" max="6886" width="42.140625" style="1" customWidth="1"/>
    <col min="6887" max="6888" width="9.140625" style="1" customWidth="1"/>
    <col min="6889" max="6889" width="8.85546875" style="1" customWidth="1"/>
    <col min="6890" max="6891" width="8.42578125" style="1" customWidth="1"/>
    <col min="6892" max="6892" width="8.140625" style="1" customWidth="1"/>
    <col min="6893" max="6893" width="11.140625" style="1" customWidth="1"/>
    <col min="6894" max="6894" width="8.5703125" style="1" customWidth="1"/>
    <col min="6895" max="6895" width="9.140625" style="1" customWidth="1"/>
    <col min="6896" max="6896" width="9.5703125" style="1" customWidth="1"/>
    <col min="6897" max="6897" width="8.85546875" style="1" customWidth="1"/>
    <col min="6898" max="6898" width="8.42578125" style="1" customWidth="1"/>
    <col min="6899" max="7139" width="9.140625" style="1"/>
    <col min="7140" max="7140" width="8.5703125" style="1" customWidth="1"/>
    <col min="7141" max="7141" width="7.140625" style="1" customWidth="1"/>
    <col min="7142" max="7142" width="42.140625" style="1" customWidth="1"/>
    <col min="7143" max="7144" width="9.140625" style="1" customWidth="1"/>
    <col min="7145" max="7145" width="8.85546875" style="1" customWidth="1"/>
    <col min="7146" max="7147" width="8.42578125" style="1" customWidth="1"/>
    <col min="7148" max="7148" width="8.140625" style="1" customWidth="1"/>
    <col min="7149" max="7149" width="11.140625" style="1" customWidth="1"/>
    <col min="7150" max="7150" width="8.5703125" style="1" customWidth="1"/>
    <col min="7151" max="7151" width="9.140625" style="1" customWidth="1"/>
    <col min="7152" max="7152" width="9.5703125" style="1" customWidth="1"/>
    <col min="7153" max="7153" width="8.85546875" style="1" customWidth="1"/>
    <col min="7154" max="7154" width="8.42578125" style="1" customWidth="1"/>
    <col min="7155" max="7395" width="9.140625" style="1"/>
    <col min="7396" max="7396" width="8.5703125" style="1" customWidth="1"/>
    <col min="7397" max="7397" width="7.140625" style="1" customWidth="1"/>
    <col min="7398" max="7398" width="42.140625" style="1" customWidth="1"/>
    <col min="7399" max="7400" width="9.140625" style="1" customWidth="1"/>
    <col min="7401" max="7401" width="8.85546875" style="1" customWidth="1"/>
    <col min="7402" max="7403" width="8.42578125" style="1" customWidth="1"/>
    <col min="7404" max="7404" width="8.140625" style="1" customWidth="1"/>
    <col min="7405" max="7405" width="11.140625" style="1" customWidth="1"/>
    <col min="7406" max="7406" width="8.5703125" style="1" customWidth="1"/>
    <col min="7407" max="7407" width="9.140625" style="1" customWidth="1"/>
    <col min="7408" max="7408" width="9.5703125" style="1" customWidth="1"/>
    <col min="7409" max="7409" width="8.85546875" style="1" customWidth="1"/>
    <col min="7410" max="7410" width="8.42578125" style="1" customWidth="1"/>
    <col min="7411" max="7651" width="9.140625" style="1"/>
    <col min="7652" max="7652" width="8.5703125" style="1" customWidth="1"/>
    <col min="7653" max="7653" width="7.140625" style="1" customWidth="1"/>
    <col min="7654" max="7654" width="42.140625" style="1" customWidth="1"/>
    <col min="7655" max="7656" width="9.140625" style="1" customWidth="1"/>
    <col min="7657" max="7657" width="8.85546875" style="1" customWidth="1"/>
    <col min="7658" max="7659" width="8.42578125" style="1" customWidth="1"/>
    <col min="7660" max="7660" width="8.140625" style="1" customWidth="1"/>
    <col min="7661" max="7661" width="11.140625" style="1" customWidth="1"/>
    <col min="7662" max="7662" width="8.5703125" style="1" customWidth="1"/>
    <col min="7663" max="7663" width="9.140625" style="1" customWidth="1"/>
    <col min="7664" max="7664" width="9.5703125" style="1" customWidth="1"/>
    <col min="7665" max="7665" width="8.85546875" style="1" customWidth="1"/>
    <col min="7666" max="7666" width="8.42578125" style="1" customWidth="1"/>
    <col min="7667" max="7907" width="9.140625" style="1"/>
    <col min="7908" max="7908" width="8.5703125" style="1" customWidth="1"/>
    <col min="7909" max="7909" width="7.140625" style="1" customWidth="1"/>
    <col min="7910" max="7910" width="42.140625" style="1" customWidth="1"/>
    <col min="7911" max="7912" width="9.140625" style="1" customWidth="1"/>
    <col min="7913" max="7913" width="8.85546875" style="1" customWidth="1"/>
    <col min="7914" max="7915" width="8.42578125" style="1" customWidth="1"/>
    <col min="7916" max="7916" width="8.140625" style="1" customWidth="1"/>
    <col min="7917" max="7917" width="11.140625" style="1" customWidth="1"/>
    <col min="7918" max="7918" width="8.5703125" style="1" customWidth="1"/>
    <col min="7919" max="7919" width="9.140625" style="1" customWidth="1"/>
    <col min="7920" max="7920" width="9.5703125" style="1" customWidth="1"/>
    <col min="7921" max="7921" width="8.85546875" style="1" customWidth="1"/>
    <col min="7922" max="7922" width="8.42578125" style="1" customWidth="1"/>
    <col min="7923" max="8163" width="9.140625" style="1"/>
    <col min="8164" max="8164" width="8.5703125" style="1" customWidth="1"/>
    <col min="8165" max="8165" width="7.140625" style="1" customWidth="1"/>
    <col min="8166" max="8166" width="42.140625" style="1" customWidth="1"/>
    <col min="8167" max="8168" width="9.140625" style="1" customWidth="1"/>
    <col min="8169" max="8169" width="8.85546875" style="1" customWidth="1"/>
    <col min="8170" max="8171" width="8.42578125" style="1" customWidth="1"/>
    <col min="8172" max="8172" width="8.140625" style="1" customWidth="1"/>
    <col min="8173" max="8173" width="11.140625" style="1" customWidth="1"/>
    <col min="8174" max="8174" width="8.5703125" style="1" customWidth="1"/>
    <col min="8175" max="8175" width="9.140625" style="1" customWidth="1"/>
    <col min="8176" max="8176" width="9.5703125" style="1" customWidth="1"/>
    <col min="8177" max="8177" width="8.85546875" style="1" customWidth="1"/>
    <col min="8178" max="8178" width="8.42578125" style="1" customWidth="1"/>
    <col min="8179" max="8419" width="9.140625" style="1"/>
    <col min="8420" max="8420" width="8.5703125" style="1" customWidth="1"/>
    <col min="8421" max="8421" width="7.140625" style="1" customWidth="1"/>
    <col min="8422" max="8422" width="42.140625" style="1" customWidth="1"/>
    <col min="8423" max="8424" width="9.140625" style="1" customWidth="1"/>
    <col min="8425" max="8425" width="8.85546875" style="1" customWidth="1"/>
    <col min="8426" max="8427" width="8.42578125" style="1" customWidth="1"/>
    <col min="8428" max="8428" width="8.140625" style="1" customWidth="1"/>
    <col min="8429" max="8429" width="11.140625" style="1" customWidth="1"/>
    <col min="8430" max="8430" width="8.5703125" style="1" customWidth="1"/>
    <col min="8431" max="8431" width="9.140625" style="1" customWidth="1"/>
    <col min="8432" max="8432" width="9.5703125" style="1" customWidth="1"/>
    <col min="8433" max="8433" width="8.85546875" style="1" customWidth="1"/>
    <col min="8434" max="8434" width="8.42578125" style="1" customWidth="1"/>
    <col min="8435" max="8675" width="9.140625" style="1"/>
    <col min="8676" max="8676" width="8.5703125" style="1" customWidth="1"/>
    <col min="8677" max="8677" width="7.140625" style="1" customWidth="1"/>
    <col min="8678" max="8678" width="42.140625" style="1" customWidth="1"/>
    <col min="8679" max="8680" width="9.140625" style="1" customWidth="1"/>
    <col min="8681" max="8681" width="8.85546875" style="1" customWidth="1"/>
    <col min="8682" max="8683" width="8.42578125" style="1" customWidth="1"/>
    <col min="8684" max="8684" width="8.140625" style="1" customWidth="1"/>
    <col min="8685" max="8685" width="11.140625" style="1" customWidth="1"/>
    <col min="8686" max="8686" width="8.5703125" style="1" customWidth="1"/>
    <col min="8687" max="8687" width="9.140625" style="1" customWidth="1"/>
    <col min="8688" max="8688" width="9.5703125" style="1" customWidth="1"/>
    <col min="8689" max="8689" width="8.85546875" style="1" customWidth="1"/>
    <col min="8690" max="8690" width="8.42578125" style="1" customWidth="1"/>
    <col min="8691" max="8931" width="9.140625" style="1"/>
    <col min="8932" max="8932" width="8.5703125" style="1" customWidth="1"/>
    <col min="8933" max="8933" width="7.140625" style="1" customWidth="1"/>
    <col min="8934" max="8934" width="42.140625" style="1" customWidth="1"/>
    <col min="8935" max="8936" width="9.140625" style="1" customWidth="1"/>
    <col min="8937" max="8937" width="8.85546875" style="1" customWidth="1"/>
    <col min="8938" max="8939" width="8.42578125" style="1" customWidth="1"/>
    <col min="8940" max="8940" width="8.140625" style="1" customWidth="1"/>
    <col min="8941" max="8941" width="11.140625" style="1" customWidth="1"/>
    <col min="8942" max="8942" width="8.5703125" style="1" customWidth="1"/>
    <col min="8943" max="8943" width="9.140625" style="1" customWidth="1"/>
    <col min="8944" max="8944" width="9.5703125" style="1" customWidth="1"/>
    <col min="8945" max="8945" width="8.85546875" style="1" customWidth="1"/>
    <col min="8946" max="8946" width="8.42578125" style="1" customWidth="1"/>
    <col min="8947" max="9187" width="9.140625" style="1"/>
    <col min="9188" max="9188" width="8.5703125" style="1" customWidth="1"/>
    <col min="9189" max="9189" width="7.140625" style="1" customWidth="1"/>
    <col min="9190" max="9190" width="42.140625" style="1" customWidth="1"/>
    <col min="9191" max="9192" width="9.140625" style="1" customWidth="1"/>
    <col min="9193" max="9193" width="8.85546875" style="1" customWidth="1"/>
    <col min="9194" max="9195" width="8.42578125" style="1" customWidth="1"/>
    <col min="9196" max="9196" width="8.140625" style="1" customWidth="1"/>
    <col min="9197" max="9197" width="11.140625" style="1" customWidth="1"/>
    <col min="9198" max="9198" width="8.5703125" style="1" customWidth="1"/>
    <col min="9199" max="9199" width="9.140625" style="1" customWidth="1"/>
    <col min="9200" max="9200" width="9.5703125" style="1" customWidth="1"/>
    <col min="9201" max="9201" width="8.85546875" style="1" customWidth="1"/>
    <col min="9202" max="9202" width="8.42578125" style="1" customWidth="1"/>
    <col min="9203" max="9443" width="9.140625" style="1"/>
    <col min="9444" max="9444" width="8.5703125" style="1" customWidth="1"/>
    <col min="9445" max="9445" width="7.140625" style="1" customWidth="1"/>
    <col min="9446" max="9446" width="42.140625" style="1" customWidth="1"/>
    <col min="9447" max="9448" width="9.140625" style="1" customWidth="1"/>
    <col min="9449" max="9449" width="8.85546875" style="1" customWidth="1"/>
    <col min="9450" max="9451" width="8.42578125" style="1" customWidth="1"/>
    <col min="9452" max="9452" width="8.140625" style="1" customWidth="1"/>
    <col min="9453" max="9453" width="11.140625" style="1" customWidth="1"/>
    <col min="9454" max="9454" width="8.5703125" style="1" customWidth="1"/>
    <col min="9455" max="9455" width="9.140625" style="1" customWidth="1"/>
    <col min="9456" max="9456" width="9.5703125" style="1" customWidth="1"/>
    <col min="9457" max="9457" width="8.85546875" style="1" customWidth="1"/>
    <col min="9458" max="9458" width="8.42578125" style="1" customWidth="1"/>
    <col min="9459" max="9699" width="9.140625" style="1"/>
    <col min="9700" max="9700" width="8.5703125" style="1" customWidth="1"/>
    <col min="9701" max="9701" width="7.140625" style="1" customWidth="1"/>
    <col min="9702" max="9702" width="42.140625" style="1" customWidth="1"/>
    <col min="9703" max="9704" width="9.140625" style="1" customWidth="1"/>
    <col min="9705" max="9705" width="8.85546875" style="1" customWidth="1"/>
    <col min="9706" max="9707" width="8.42578125" style="1" customWidth="1"/>
    <col min="9708" max="9708" width="8.140625" style="1" customWidth="1"/>
    <col min="9709" max="9709" width="11.140625" style="1" customWidth="1"/>
    <col min="9710" max="9710" width="8.5703125" style="1" customWidth="1"/>
    <col min="9711" max="9711" width="9.140625" style="1" customWidth="1"/>
    <col min="9712" max="9712" width="9.5703125" style="1" customWidth="1"/>
    <col min="9713" max="9713" width="8.85546875" style="1" customWidth="1"/>
    <col min="9714" max="9714" width="8.42578125" style="1" customWidth="1"/>
    <col min="9715" max="9955" width="9.140625" style="1"/>
    <col min="9956" max="9956" width="8.5703125" style="1" customWidth="1"/>
    <col min="9957" max="9957" width="7.140625" style="1" customWidth="1"/>
    <col min="9958" max="9958" width="42.140625" style="1" customWidth="1"/>
    <col min="9959" max="9960" width="9.140625" style="1" customWidth="1"/>
    <col min="9961" max="9961" width="8.85546875" style="1" customWidth="1"/>
    <col min="9962" max="9963" width="8.42578125" style="1" customWidth="1"/>
    <col min="9964" max="9964" width="8.140625" style="1" customWidth="1"/>
    <col min="9965" max="9965" width="11.140625" style="1" customWidth="1"/>
    <col min="9966" max="9966" width="8.5703125" style="1" customWidth="1"/>
    <col min="9967" max="9967" width="9.140625" style="1" customWidth="1"/>
    <col min="9968" max="9968" width="9.5703125" style="1" customWidth="1"/>
    <col min="9969" max="9969" width="8.85546875" style="1" customWidth="1"/>
    <col min="9970" max="9970" width="8.42578125" style="1" customWidth="1"/>
    <col min="9971" max="10211" width="9.140625" style="1"/>
    <col min="10212" max="10212" width="8.5703125" style="1" customWidth="1"/>
    <col min="10213" max="10213" width="7.140625" style="1" customWidth="1"/>
    <col min="10214" max="10214" width="42.140625" style="1" customWidth="1"/>
    <col min="10215" max="10216" width="9.140625" style="1" customWidth="1"/>
    <col min="10217" max="10217" width="8.85546875" style="1" customWidth="1"/>
    <col min="10218" max="10219" width="8.42578125" style="1" customWidth="1"/>
    <col min="10220" max="10220" width="8.140625" style="1" customWidth="1"/>
    <col min="10221" max="10221" width="11.140625" style="1" customWidth="1"/>
    <col min="10222" max="10222" width="8.5703125" style="1" customWidth="1"/>
    <col min="10223" max="10223" width="9.140625" style="1" customWidth="1"/>
    <col min="10224" max="10224" width="9.5703125" style="1" customWidth="1"/>
    <col min="10225" max="10225" width="8.85546875" style="1" customWidth="1"/>
    <col min="10226" max="10226" width="8.42578125" style="1" customWidth="1"/>
    <col min="10227" max="10467" width="9.140625" style="1"/>
    <col min="10468" max="10468" width="8.5703125" style="1" customWidth="1"/>
    <col min="10469" max="10469" width="7.140625" style="1" customWidth="1"/>
    <col min="10470" max="10470" width="42.140625" style="1" customWidth="1"/>
    <col min="10471" max="10472" width="9.140625" style="1" customWidth="1"/>
    <col min="10473" max="10473" width="8.85546875" style="1" customWidth="1"/>
    <col min="10474" max="10475" width="8.42578125" style="1" customWidth="1"/>
    <col min="10476" max="10476" width="8.140625" style="1" customWidth="1"/>
    <col min="10477" max="10477" width="11.140625" style="1" customWidth="1"/>
    <col min="10478" max="10478" width="8.5703125" style="1" customWidth="1"/>
    <col min="10479" max="10479" width="9.140625" style="1" customWidth="1"/>
    <col min="10480" max="10480" width="9.5703125" style="1" customWidth="1"/>
    <col min="10481" max="10481" width="8.85546875" style="1" customWidth="1"/>
    <col min="10482" max="10482" width="8.42578125" style="1" customWidth="1"/>
    <col min="10483" max="10723" width="9.140625" style="1"/>
    <col min="10724" max="10724" width="8.5703125" style="1" customWidth="1"/>
    <col min="10725" max="10725" width="7.140625" style="1" customWidth="1"/>
    <col min="10726" max="10726" width="42.140625" style="1" customWidth="1"/>
    <col min="10727" max="10728" width="9.140625" style="1" customWidth="1"/>
    <col min="10729" max="10729" width="8.85546875" style="1" customWidth="1"/>
    <col min="10730" max="10731" width="8.42578125" style="1" customWidth="1"/>
    <col min="10732" max="10732" width="8.140625" style="1" customWidth="1"/>
    <col min="10733" max="10733" width="11.140625" style="1" customWidth="1"/>
    <col min="10734" max="10734" width="8.5703125" style="1" customWidth="1"/>
    <col min="10735" max="10735" width="9.140625" style="1" customWidth="1"/>
    <col min="10736" max="10736" width="9.5703125" style="1" customWidth="1"/>
    <col min="10737" max="10737" width="8.85546875" style="1" customWidth="1"/>
    <col min="10738" max="10738" width="8.42578125" style="1" customWidth="1"/>
    <col min="10739" max="10979" width="9.140625" style="1"/>
    <col min="10980" max="10980" width="8.5703125" style="1" customWidth="1"/>
    <col min="10981" max="10981" width="7.140625" style="1" customWidth="1"/>
    <col min="10982" max="10982" width="42.140625" style="1" customWidth="1"/>
    <col min="10983" max="10984" width="9.140625" style="1" customWidth="1"/>
    <col min="10985" max="10985" width="8.85546875" style="1" customWidth="1"/>
    <col min="10986" max="10987" width="8.42578125" style="1" customWidth="1"/>
    <col min="10988" max="10988" width="8.140625" style="1" customWidth="1"/>
    <col min="10989" max="10989" width="11.140625" style="1" customWidth="1"/>
    <col min="10990" max="10990" width="8.5703125" style="1" customWidth="1"/>
    <col min="10991" max="10991" width="9.140625" style="1" customWidth="1"/>
    <col min="10992" max="10992" width="9.5703125" style="1" customWidth="1"/>
    <col min="10993" max="10993" width="8.85546875" style="1" customWidth="1"/>
    <col min="10994" max="10994" width="8.42578125" style="1" customWidth="1"/>
    <col min="10995" max="11235" width="9.140625" style="1"/>
    <col min="11236" max="11236" width="8.5703125" style="1" customWidth="1"/>
    <col min="11237" max="11237" width="7.140625" style="1" customWidth="1"/>
    <col min="11238" max="11238" width="42.140625" style="1" customWidth="1"/>
    <col min="11239" max="11240" width="9.140625" style="1" customWidth="1"/>
    <col min="11241" max="11241" width="8.85546875" style="1" customWidth="1"/>
    <col min="11242" max="11243" width="8.42578125" style="1" customWidth="1"/>
    <col min="11244" max="11244" width="8.140625" style="1" customWidth="1"/>
    <col min="11245" max="11245" width="11.140625" style="1" customWidth="1"/>
    <col min="11246" max="11246" width="8.5703125" style="1" customWidth="1"/>
    <col min="11247" max="11247" width="9.140625" style="1" customWidth="1"/>
    <col min="11248" max="11248" width="9.5703125" style="1" customWidth="1"/>
    <col min="11249" max="11249" width="8.85546875" style="1" customWidth="1"/>
    <col min="11250" max="11250" width="8.42578125" style="1" customWidth="1"/>
    <col min="11251" max="11491" width="9.140625" style="1"/>
    <col min="11492" max="11492" width="8.5703125" style="1" customWidth="1"/>
    <col min="11493" max="11493" width="7.140625" style="1" customWidth="1"/>
    <col min="11494" max="11494" width="42.140625" style="1" customWidth="1"/>
    <col min="11495" max="11496" width="9.140625" style="1" customWidth="1"/>
    <col min="11497" max="11497" width="8.85546875" style="1" customWidth="1"/>
    <col min="11498" max="11499" width="8.42578125" style="1" customWidth="1"/>
    <col min="11500" max="11500" width="8.140625" style="1" customWidth="1"/>
    <col min="11501" max="11501" width="11.140625" style="1" customWidth="1"/>
    <col min="11502" max="11502" width="8.5703125" style="1" customWidth="1"/>
    <col min="11503" max="11503" width="9.140625" style="1" customWidth="1"/>
    <col min="11504" max="11504" width="9.5703125" style="1" customWidth="1"/>
    <col min="11505" max="11505" width="8.85546875" style="1" customWidth="1"/>
    <col min="11506" max="11506" width="8.42578125" style="1" customWidth="1"/>
    <col min="11507" max="11747" width="9.140625" style="1"/>
    <col min="11748" max="11748" width="8.5703125" style="1" customWidth="1"/>
    <col min="11749" max="11749" width="7.140625" style="1" customWidth="1"/>
    <col min="11750" max="11750" width="42.140625" style="1" customWidth="1"/>
    <col min="11751" max="11752" width="9.140625" style="1" customWidth="1"/>
    <col min="11753" max="11753" width="8.85546875" style="1" customWidth="1"/>
    <col min="11754" max="11755" width="8.42578125" style="1" customWidth="1"/>
    <col min="11756" max="11756" width="8.140625" style="1" customWidth="1"/>
    <col min="11757" max="11757" width="11.140625" style="1" customWidth="1"/>
    <col min="11758" max="11758" width="8.5703125" style="1" customWidth="1"/>
    <col min="11759" max="11759" width="9.140625" style="1" customWidth="1"/>
    <col min="11760" max="11760" width="9.5703125" style="1" customWidth="1"/>
    <col min="11761" max="11761" width="8.85546875" style="1" customWidth="1"/>
    <col min="11762" max="11762" width="8.42578125" style="1" customWidth="1"/>
    <col min="11763" max="12003" width="9.140625" style="1"/>
    <col min="12004" max="12004" width="8.5703125" style="1" customWidth="1"/>
    <col min="12005" max="12005" width="7.140625" style="1" customWidth="1"/>
    <col min="12006" max="12006" width="42.140625" style="1" customWidth="1"/>
    <col min="12007" max="12008" width="9.140625" style="1" customWidth="1"/>
    <col min="12009" max="12009" width="8.85546875" style="1" customWidth="1"/>
    <col min="12010" max="12011" width="8.42578125" style="1" customWidth="1"/>
    <col min="12012" max="12012" width="8.140625" style="1" customWidth="1"/>
    <col min="12013" max="12013" width="11.140625" style="1" customWidth="1"/>
    <col min="12014" max="12014" width="8.5703125" style="1" customWidth="1"/>
    <col min="12015" max="12015" width="9.140625" style="1" customWidth="1"/>
    <col min="12016" max="12016" width="9.5703125" style="1" customWidth="1"/>
    <col min="12017" max="12017" width="8.85546875" style="1" customWidth="1"/>
    <col min="12018" max="12018" width="8.42578125" style="1" customWidth="1"/>
    <col min="12019" max="12259" width="9.140625" style="1"/>
    <col min="12260" max="12260" width="8.5703125" style="1" customWidth="1"/>
    <col min="12261" max="12261" width="7.140625" style="1" customWidth="1"/>
    <col min="12262" max="12262" width="42.140625" style="1" customWidth="1"/>
    <col min="12263" max="12264" width="9.140625" style="1" customWidth="1"/>
    <col min="12265" max="12265" width="8.85546875" style="1" customWidth="1"/>
    <col min="12266" max="12267" width="8.42578125" style="1" customWidth="1"/>
    <col min="12268" max="12268" width="8.140625" style="1" customWidth="1"/>
    <col min="12269" max="12269" width="11.140625" style="1" customWidth="1"/>
    <col min="12270" max="12270" width="8.5703125" style="1" customWidth="1"/>
    <col min="12271" max="12271" width="9.140625" style="1" customWidth="1"/>
    <col min="12272" max="12272" width="9.5703125" style="1" customWidth="1"/>
    <col min="12273" max="12273" width="8.85546875" style="1" customWidth="1"/>
    <col min="12274" max="12274" width="8.42578125" style="1" customWidth="1"/>
    <col min="12275" max="12515" width="9.140625" style="1"/>
    <col min="12516" max="12516" width="8.5703125" style="1" customWidth="1"/>
    <col min="12517" max="12517" width="7.140625" style="1" customWidth="1"/>
    <col min="12518" max="12518" width="42.140625" style="1" customWidth="1"/>
    <col min="12519" max="12520" width="9.140625" style="1" customWidth="1"/>
    <col min="12521" max="12521" width="8.85546875" style="1" customWidth="1"/>
    <col min="12522" max="12523" width="8.42578125" style="1" customWidth="1"/>
    <col min="12524" max="12524" width="8.140625" style="1" customWidth="1"/>
    <col min="12525" max="12525" width="11.140625" style="1" customWidth="1"/>
    <col min="12526" max="12526" width="8.5703125" style="1" customWidth="1"/>
    <col min="12527" max="12527" width="9.140625" style="1" customWidth="1"/>
    <col min="12528" max="12528" width="9.5703125" style="1" customWidth="1"/>
    <col min="12529" max="12529" width="8.85546875" style="1" customWidth="1"/>
    <col min="12530" max="12530" width="8.42578125" style="1" customWidth="1"/>
    <col min="12531" max="12771" width="9.140625" style="1"/>
    <col min="12772" max="12772" width="8.5703125" style="1" customWidth="1"/>
    <col min="12773" max="12773" width="7.140625" style="1" customWidth="1"/>
    <col min="12774" max="12774" width="42.140625" style="1" customWidth="1"/>
    <col min="12775" max="12776" width="9.140625" style="1" customWidth="1"/>
    <col min="12777" max="12777" width="8.85546875" style="1" customWidth="1"/>
    <col min="12778" max="12779" width="8.42578125" style="1" customWidth="1"/>
    <col min="12780" max="12780" width="8.140625" style="1" customWidth="1"/>
    <col min="12781" max="12781" width="11.140625" style="1" customWidth="1"/>
    <col min="12782" max="12782" width="8.5703125" style="1" customWidth="1"/>
    <col min="12783" max="12783" width="9.140625" style="1" customWidth="1"/>
    <col min="12784" max="12784" width="9.5703125" style="1" customWidth="1"/>
    <col min="12785" max="12785" width="8.85546875" style="1" customWidth="1"/>
    <col min="12786" max="12786" width="8.42578125" style="1" customWidth="1"/>
    <col min="12787" max="13027" width="9.140625" style="1"/>
    <col min="13028" max="13028" width="8.5703125" style="1" customWidth="1"/>
    <col min="13029" max="13029" width="7.140625" style="1" customWidth="1"/>
    <col min="13030" max="13030" width="42.140625" style="1" customWidth="1"/>
    <col min="13031" max="13032" width="9.140625" style="1" customWidth="1"/>
    <col min="13033" max="13033" width="8.85546875" style="1" customWidth="1"/>
    <col min="13034" max="13035" width="8.42578125" style="1" customWidth="1"/>
    <col min="13036" max="13036" width="8.140625" style="1" customWidth="1"/>
    <col min="13037" max="13037" width="11.140625" style="1" customWidth="1"/>
    <col min="13038" max="13038" width="8.5703125" style="1" customWidth="1"/>
    <col min="13039" max="13039" width="9.140625" style="1" customWidth="1"/>
    <col min="13040" max="13040" width="9.5703125" style="1" customWidth="1"/>
    <col min="13041" max="13041" width="8.85546875" style="1" customWidth="1"/>
    <col min="13042" max="13042" width="8.42578125" style="1" customWidth="1"/>
    <col min="13043" max="13283" width="9.140625" style="1"/>
    <col min="13284" max="13284" width="8.5703125" style="1" customWidth="1"/>
    <col min="13285" max="13285" width="7.140625" style="1" customWidth="1"/>
    <col min="13286" max="13286" width="42.140625" style="1" customWidth="1"/>
    <col min="13287" max="13288" width="9.140625" style="1" customWidth="1"/>
    <col min="13289" max="13289" width="8.85546875" style="1" customWidth="1"/>
    <col min="13290" max="13291" width="8.42578125" style="1" customWidth="1"/>
    <col min="13292" max="13292" width="8.140625" style="1" customWidth="1"/>
    <col min="13293" max="13293" width="11.140625" style="1" customWidth="1"/>
    <col min="13294" max="13294" width="8.5703125" style="1" customWidth="1"/>
    <col min="13295" max="13295" width="9.140625" style="1" customWidth="1"/>
    <col min="13296" max="13296" width="9.5703125" style="1" customWidth="1"/>
    <col min="13297" max="13297" width="8.85546875" style="1" customWidth="1"/>
    <col min="13298" max="13298" width="8.42578125" style="1" customWidth="1"/>
    <col min="13299" max="13539" width="9.140625" style="1"/>
    <col min="13540" max="13540" width="8.5703125" style="1" customWidth="1"/>
    <col min="13541" max="13541" width="7.140625" style="1" customWidth="1"/>
    <col min="13542" max="13542" width="42.140625" style="1" customWidth="1"/>
    <col min="13543" max="13544" width="9.140625" style="1" customWidth="1"/>
    <col min="13545" max="13545" width="8.85546875" style="1" customWidth="1"/>
    <col min="13546" max="13547" width="8.42578125" style="1" customWidth="1"/>
    <col min="13548" max="13548" width="8.140625" style="1" customWidth="1"/>
    <col min="13549" max="13549" width="11.140625" style="1" customWidth="1"/>
    <col min="13550" max="13550" width="8.5703125" style="1" customWidth="1"/>
    <col min="13551" max="13551" width="9.140625" style="1" customWidth="1"/>
    <col min="13552" max="13552" width="9.5703125" style="1" customWidth="1"/>
    <col min="13553" max="13553" width="8.85546875" style="1" customWidth="1"/>
    <col min="13554" max="13554" width="8.42578125" style="1" customWidth="1"/>
    <col min="13555" max="13795" width="9.140625" style="1"/>
    <col min="13796" max="13796" width="8.5703125" style="1" customWidth="1"/>
    <col min="13797" max="13797" width="7.140625" style="1" customWidth="1"/>
    <col min="13798" max="13798" width="42.140625" style="1" customWidth="1"/>
    <col min="13799" max="13800" width="9.140625" style="1" customWidth="1"/>
    <col min="13801" max="13801" width="8.85546875" style="1" customWidth="1"/>
    <col min="13802" max="13803" width="8.42578125" style="1" customWidth="1"/>
    <col min="13804" max="13804" width="8.140625" style="1" customWidth="1"/>
    <col min="13805" max="13805" width="11.140625" style="1" customWidth="1"/>
    <col min="13806" max="13806" width="8.5703125" style="1" customWidth="1"/>
    <col min="13807" max="13807" width="9.140625" style="1" customWidth="1"/>
    <col min="13808" max="13808" width="9.5703125" style="1" customWidth="1"/>
    <col min="13809" max="13809" width="8.85546875" style="1" customWidth="1"/>
    <col min="13810" max="13810" width="8.42578125" style="1" customWidth="1"/>
    <col min="13811" max="14051" width="9.140625" style="1"/>
    <col min="14052" max="14052" width="8.5703125" style="1" customWidth="1"/>
    <col min="14053" max="14053" width="7.140625" style="1" customWidth="1"/>
    <col min="14054" max="14054" width="42.140625" style="1" customWidth="1"/>
    <col min="14055" max="14056" width="9.140625" style="1" customWidth="1"/>
    <col min="14057" max="14057" width="8.85546875" style="1" customWidth="1"/>
    <col min="14058" max="14059" width="8.42578125" style="1" customWidth="1"/>
    <col min="14060" max="14060" width="8.140625" style="1" customWidth="1"/>
    <col min="14061" max="14061" width="11.140625" style="1" customWidth="1"/>
    <col min="14062" max="14062" width="8.5703125" style="1" customWidth="1"/>
    <col min="14063" max="14063" width="9.140625" style="1" customWidth="1"/>
    <col min="14064" max="14064" width="9.5703125" style="1" customWidth="1"/>
    <col min="14065" max="14065" width="8.85546875" style="1" customWidth="1"/>
    <col min="14066" max="14066" width="8.42578125" style="1" customWidth="1"/>
    <col min="14067" max="14307" width="9.140625" style="1"/>
    <col min="14308" max="14308" width="8.5703125" style="1" customWidth="1"/>
    <col min="14309" max="14309" width="7.140625" style="1" customWidth="1"/>
    <col min="14310" max="14310" width="42.140625" style="1" customWidth="1"/>
    <col min="14311" max="14312" width="9.140625" style="1" customWidth="1"/>
    <col min="14313" max="14313" width="8.85546875" style="1" customWidth="1"/>
    <col min="14314" max="14315" width="8.42578125" style="1" customWidth="1"/>
    <col min="14316" max="14316" width="8.140625" style="1" customWidth="1"/>
    <col min="14317" max="14317" width="11.140625" style="1" customWidth="1"/>
    <col min="14318" max="14318" width="8.5703125" style="1" customWidth="1"/>
    <col min="14319" max="14319" width="9.140625" style="1" customWidth="1"/>
    <col min="14320" max="14320" width="9.5703125" style="1" customWidth="1"/>
    <col min="14321" max="14321" width="8.85546875" style="1" customWidth="1"/>
    <col min="14322" max="14322" width="8.42578125" style="1" customWidth="1"/>
    <col min="14323" max="14563" width="9.140625" style="1"/>
    <col min="14564" max="14564" width="8.5703125" style="1" customWidth="1"/>
    <col min="14565" max="14565" width="7.140625" style="1" customWidth="1"/>
    <col min="14566" max="14566" width="42.140625" style="1" customWidth="1"/>
    <col min="14567" max="14568" width="9.140625" style="1" customWidth="1"/>
    <col min="14569" max="14569" width="8.85546875" style="1" customWidth="1"/>
    <col min="14570" max="14571" width="8.42578125" style="1" customWidth="1"/>
    <col min="14572" max="14572" width="8.140625" style="1" customWidth="1"/>
    <col min="14573" max="14573" width="11.140625" style="1" customWidth="1"/>
    <col min="14574" max="14574" width="8.5703125" style="1" customWidth="1"/>
    <col min="14575" max="14575" width="9.140625" style="1" customWidth="1"/>
    <col min="14576" max="14576" width="9.5703125" style="1" customWidth="1"/>
    <col min="14577" max="14577" width="8.85546875" style="1" customWidth="1"/>
    <col min="14578" max="14578" width="8.42578125" style="1" customWidth="1"/>
    <col min="14579" max="14819" width="9.140625" style="1"/>
    <col min="14820" max="14820" width="8.5703125" style="1" customWidth="1"/>
    <col min="14821" max="14821" width="7.140625" style="1" customWidth="1"/>
    <col min="14822" max="14822" width="42.140625" style="1" customWidth="1"/>
    <col min="14823" max="14824" width="9.140625" style="1" customWidth="1"/>
    <col min="14825" max="14825" width="8.85546875" style="1" customWidth="1"/>
    <col min="14826" max="14827" width="8.42578125" style="1" customWidth="1"/>
    <col min="14828" max="14828" width="8.140625" style="1" customWidth="1"/>
    <col min="14829" max="14829" width="11.140625" style="1" customWidth="1"/>
    <col min="14830" max="14830" width="8.5703125" style="1" customWidth="1"/>
    <col min="14831" max="14831" width="9.140625" style="1" customWidth="1"/>
    <col min="14832" max="14832" width="9.5703125" style="1" customWidth="1"/>
    <col min="14833" max="14833" width="8.85546875" style="1" customWidth="1"/>
    <col min="14834" max="14834" width="8.42578125" style="1" customWidth="1"/>
    <col min="14835" max="15075" width="9.140625" style="1"/>
    <col min="15076" max="15076" width="8.5703125" style="1" customWidth="1"/>
    <col min="15077" max="15077" width="7.140625" style="1" customWidth="1"/>
    <col min="15078" max="15078" width="42.140625" style="1" customWidth="1"/>
    <col min="15079" max="15080" width="9.140625" style="1" customWidth="1"/>
    <col min="15081" max="15081" width="8.85546875" style="1" customWidth="1"/>
    <col min="15082" max="15083" width="8.42578125" style="1" customWidth="1"/>
    <col min="15084" max="15084" width="8.140625" style="1" customWidth="1"/>
    <col min="15085" max="15085" width="11.140625" style="1" customWidth="1"/>
    <col min="15086" max="15086" width="8.5703125" style="1" customWidth="1"/>
    <col min="15087" max="15087" width="9.140625" style="1" customWidth="1"/>
    <col min="15088" max="15088" width="9.5703125" style="1" customWidth="1"/>
    <col min="15089" max="15089" width="8.85546875" style="1" customWidth="1"/>
    <col min="15090" max="15090" width="8.42578125" style="1" customWidth="1"/>
    <col min="15091" max="15331" width="9.140625" style="1"/>
    <col min="15332" max="15332" width="8.5703125" style="1" customWidth="1"/>
    <col min="15333" max="15333" width="7.140625" style="1" customWidth="1"/>
    <col min="15334" max="15334" width="42.140625" style="1" customWidth="1"/>
    <col min="15335" max="15336" width="9.140625" style="1" customWidth="1"/>
    <col min="15337" max="15337" width="8.85546875" style="1" customWidth="1"/>
    <col min="15338" max="15339" width="8.42578125" style="1" customWidth="1"/>
    <col min="15340" max="15340" width="8.140625" style="1" customWidth="1"/>
    <col min="15341" max="15341" width="11.140625" style="1" customWidth="1"/>
    <col min="15342" max="15342" width="8.5703125" style="1" customWidth="1"/>
    <col min="15343" max="15343" width="9.140625" style="1" customWidth="1"/>
    <col min="15344" max="15344" width="9.5703125" style="1" customWidth="1"/>
    <col min="15345" max="15345" width="8.85546875" style="1" customWidth="1"/>
    <col min="15346" max="15346" width="8.42578125" style="1" customWidth="1"/>
    <col min="15347" max="15587" width="9.140625" style="1"/>
    <col min="15588" max="15588" width="8.5703125" style="1" customWidth="1"/>
    <col min="15589" max="15589" width="7.140625" style="1" customWidth="1"/>
    <col min="15590" max="15590" width="42.140625" style="1" customWidth="1"/>
    <col min="15591" max="15592" width="9.140625" style="1" customWidth="1"/>
    <col min="15593" max="15593" width="8.85546875" style="1" customWidth="1"/>
    <col min="15594" max="15595" width="8.42578125" style="1" customWidth="1"/>
    <col min="15596" max="15596" width="8.140625" style="1" customWidth="1"/>
    <col min="15597" max="15597" width="11.140625" style="1" customWidth="1"/>
    <col min="15598" max="15598" width="8.5703125" style="1" customWidth="1"/>
    <col min="15599" max="15599" width="9.140625" style="1" customWidth="1"/>
    <col min="15600" max="15600" width="9.5703125" style="1" customWidth="1"/>
    <col min="15601" max="15601" width="8.85546875" style="1" customWidth="1"/>
    <col min="15602" max="15602" width="8.42578125" style="1" customWidth="1"/>
    <col min="15603" max="15843" width="9.140625" style="1"/>
    <col min="15844" max="15844" width="8.5703125" style="1" customWidth="1"/>
    <col min="15845" max="15845" width="7.140625" style="1" customWidth="1"/>
    <col min="15846" max="15846" width="42.140625" style="1" customWidth="1"/>
    <col min="15847" max="15848" width="9.140625" style="1" customWidth="1"/>
    <col min="15849" max="15849" width="8.85546875" style="1" customWidth="1"/>
    <col min="15850" max="15851" width="8.42578125" style="1" customWidth="1"/>
    <col min="15852" max="15852" width="8.140625" style="1" customWidth="1"/>
    <col min="15853" max="15853" width="11.140625" style="1" customWidth="1"/>
    <col min="15854" max="15854" width="8.5703125" style="1" customWidth="1"/>
    <col min="15855" max="15855" width="9.140625" style="1" customWidth="1"/>
    <col min="15856" max="15856" width="9.5703125" style="1" customWidth="1"/>
    <col min="15857" max="15857" width="8.85546875" style="1" customWidth="1"/>
    <col min="15858" max="15858" width="8.42578125" style="1" customWidth="1"/>
    <col min="15859" max="16099" width="9.140625" style="1"/>
    <col min="16100" max="16100" width="8.5703125" style="1" customWidth="1"/>
    <col min="16101" max="16101" width="7.140625" style="1" customWidth="1"/>
    <col min="16102" max="16102" width="42.140625" style="1" customWidth="1"/>
    <col min="16103" max="16104" width="9.140625" style="1" customWidth="1"/>
    <col min="16105" max="16105" width="8.85546875" style="1" customWidth="1"/>
    <col min="16106" max="16107" width="8.42578125" style="1" customWidth="1"/>
    <col min="16108" max="16108" width="8.140625" style="1" customWidth="1"/>
    <col min="16109" max="16109" width="11.140625" style="1" customWidth="1"/>
    <col min="16110" max="16110" width="8.5703125" style="1" customWidth="1"/>
    <col min="16111" max="16111" width="9.140625" style="1" customWidth="1"/>
    <col min="16112" max="16112" width="9.5703125" style="1" customWidth="1"/>
    <col min="16113" max="16113" width="8.85546875" style="1" customWidth="1"/>
    <col min="16114" max="16114" width="8.42578125" style="1" customWidth="1"/>
    <col min="16115" max="16384" width="9.140625" style="1"/>
  </cols>
  <sheetData>
    <row r="1" spans="1:10" x14ac:dyDescent="0.25">
      <c r="B1" s="103" t="s">
        <v>0</v>
      </c>
      <c r="H1" s="2" t="s">
        <v>203</v>
      </c>
    </row>
    <row r="2" spans="1:10" x14ac:dyDescent="0.25">
      <c r="A2" s="3" t="s">
        <v>328</v>
      </c>
      <c r="B2" s="3"/>
    </row>
    <row r="3" spans="1:10" ht="29.25" x14ac:dyDescent="0.25">
      <c r="B3" s="73" t="s">
        <v>714</v>
      </c>
    </row>
    <row r="4" spans="1:10" s="6" customFormat="1" x14ac:dyDescent="0.25">
      <c r="A4" s="187" t="s">
        <v>329</v>
      </c>
      <c r="B4" s="188"/>
      <c r="C4" s="33" t="s">
        <v>287</v>
      </c>
      <c r="D4" s="33" t="s">
        <v>286</v>
      </c>
      <c r="E4" s="33" t="s">
        <v>568</v>
      </c>
      <c r="F4" s="33" t="s">
        <v>660</v>
      </c>
      <c r="G4" s="33" t="s">
        <v>396</v>
      </c>
      <c r="H4" s="33" t="s">
        <v>138</v>
      </c>
      <c r="I4" s="33"/>
      <c r="J4" s="33"/>
    </row>
    <row r="5" spans="1:10" s="5" customFormat="1" ht="62.25" customHeight="1" thickBot="1" x14ac:dyDescent="0.3">
      <c r="B5" s="73"/>
      <c r="C5" s="5" t="s">
        <v>677</v>
      </c>
      <c r="D5" s="739" t="s">
        <v>678</v>
      </c>
      <c r="E5" s="739" t="s">
        <v>679</v>
      </c>
      <c r="F5" s="739" t="s">
        <v>680</v>
      </c>
      <c r="G5" s="739" t="s">
        <v>397</v>
      </c>
      <c r="H5" s="739" t="s">
        <v>194</v>
      </c>
      <c r="I5" s="739"/>
      <c r="J5" s="739"/>
    </row>
    <row r="6" spans="1:10" ht="19.5" thickBot="1" x14ac:dyDescent="0.35">
      <c r="A6" s="189" t="s">
        <v>7</v>
      </c>
      <c r="B6" s="750" t="s">
        <v>10</v>
      </c>
      <c r="C6" s="36" t="s">
        <v>152</v>
      </c>
      <c r="D6" s="36" t="s">
        <v>152</v>
      </c>
      <c r="E6" s="36" t="s">
        <v>152</v>
      </c>
      <c r="F6" s="36" t="s">
        <v>152</v>
      </c>
      <c r="G6" s="36" t="s">
        <v>152</v>
      </c>
      <c r="H6" s="36" t="s">
        <v>152</v>
      </c>
      <c r="I6" s="739"/>
      <c r="J6" s="739"/>
    </row>
    <row r="7" spans="1:10" x14ac:dyDescent="0.25">
      <c r="A7" s="101">
        <v>1100</v>
      </c>
      <c r="B7" s="104" t="s">
        <v>11</v>
      </c>
      <c r="C7" s="64">
        <v>112241</v>
      </c>
      <c r="D7" s="110"/>
      <c r="E7" s="65">
        <v>186232</v>
      </c>
      <c r="F7" s="105"/>
      <c r="G7" s="105"/>
      <c r="H7" s="64">
        <f>583392+5000</f>
        <v>588392</v>
      </c>
      <c r="I7" s="3"/>
      <c r="J7" s="3"/>
    </row>
    <row r="8" spans="1:10" ht="45" x14ac:dyDescent="0.25">
      <c r="A8" s="42">
        <v>1200</v>
      </c>
      <c r="B8" s="43" t="s">
        <v>12</v>
      </c>
      <c r="C8" s="44">
        <v>34069</v>
      </c>
      <c r="D8" s="44"/>
      <c r="E8" s="65">
        <v>52148</v>
      </c>
      <c r="F8" s="44"/>
      <c r="G8" s="44"/>
      <c r="H8" s="65">
        <v>175530</v>
      </c>
      <c r="I8" s="3"/>
      <c r="J8" s="3"/>
    </row>
    <row r="9" spans="1:10" x14ac:dyDescent="0.25">
      <c r="A9" s="42">
        <v>2000</v>
      </c>
      <c r="B9" s="43" t="s">
        <v>13</v>
      </c>
      <c r="C9" s="90">
        <f t="shared" ref="C9" si="0">SUM(C10+C11+C12+C13+C14)</f>
        <v>186494</v>
      </c>
      <c r="D9" s="65">
        <f t="shared" ref="D9" si="1">SUM(D10+D11+D12+D13+D14)</f>
        <v>590000</v>
      </c>
      <c r="E9" s="90">
        <f t="shared" ref="E9:G9" si="2">SUM(E10+E11+E12+E13+E14)</f>
        <v>1670000</v>
      </c>
      <c r="F9" s="90">
        <f t="shared" si="2"/>
        <v>5278</v>
      </c>
      <c r="G9" s="90">
        <f t="shared" si="2"/>
        <v>7000</v>
      </c>
      <c r="H9" s="65">
        <f>SUM(H10:H14)</f>
        <v>131999</v>
      </c>
      <c r="I9" s="3"/>
      <c r="J9" s="3"/>
    </row>
    <row r="10" spans="1:10" ht="30" x14ac:dyDescent="0.25">
      <c r="A10" s="42">
        <v>2100</v>
      </c>
      <c r="B10" s="43" t="s">
        <v>178</v>
      </c>
      <c r="C10" s="65"/>
      <c r="D10" s="65"/>
      <c r="E10" s="65"/>
      <c r="F10" s="65"/>
      <c r="G10" s="65"/>
      <c r="H10" s="65">
        <v>4000</v>
      </c>
      <c r="I10" s="3"/>
      <c r="J10" s="3"/>
    </row>
    <row r="11" spans="1:10" x14ac:dyDescent="0.25">
      <c r="A11" s="42">
        <v>2200</v>
      </c>
      <c r="B11" s="43" t="s">
        <v>15</v>
      </c>
      <c r="C11" s="65">
        <v>68515</v>
      </c>
      <c r="D11" s="65"/>
      <c r="E11" s="65"/>
      <c r="F11" s="65"/>
      <c r="G11" s="65">
        <f>4000+3000</f>
        <v>7000</v>
      </c>
      <c r="H11" s="65">
        <f>91315-136+5866</f>
        <v>97045</v>
      </c>
      <c r="I11" s="3"/>
      <c r="J11" s="3"/>
    </row>
    <row r="12" spans="1:10" s="7" customFormat="1" ht="30" x14ac:dyDescent="0.25">
      <c r="A12" s="42">
        <v>2300</v>
      </c>
      <c r="B12" s="43" t="s">
        <v>16</v>
      </c>
      <c r="C12" s="65">
        <v>115441</v>
      </c>
      <c r="D12" s="65">
        <f>180000+410000</f>
        <v>590000</v>
      </c>
      <c r="E12" s="90">
        <f>920000+750000</f>
        <v>1670000</v>
      </c>
      <c r="F12" s="65">
        <v>5278</v>
      </c>
      <c r="G12" s="65"/>
      <c r="H12" s="65">
        <f>24960+5624</f>
        <v>30584</v>
      </c>
      <c r="I12" s="73"/>
      <c r="J12" s="3"/>
    </row>
    <row r="13" spans="1:10" x14ac:dyDescent="0.25">
      <c r="A13" s="42">
        <v>2400</v>
      </c>
      <c r="B13" s="83" t="s">
        <v>46</v>
      </c>
      <c r="C13" s="65"/>
      <c r="D13" s="65"/>
      <c r="E13" s="65"/>
      <c r="F13" s="65"/>
      <c r="G13" s="65"/>
      <c r="H13" s="65"/>
      <c r="I13" s="3"/>
      <c r="J13" s="3"/>
    </row>
    <row r="14" spans="1:10" ht="30" x14ac:dyDescent="0.25">
      <c r="A14" s="42">
        <v>2500</v>
      </c>
      <c r="B14" s="43" t="s">
        <v>172</v>
      </c>
      <c r="C14" s="64">
        <v>2538</v>
      </c>
      <c r="D14" s="65"/>
      <c r="E14" s="65"/>
      <c r="F14" s="65"/>
      <c r="G14" s="65"/>
      <c r="H14" s="65">
        <v>370</v>
      </c>
      <c r="I14" s="3"/>
      <c r="J14" s="3"/>
    </row>
    <row r="15" spans="1:10" ht="30" x14ac:dyDescent="0.25">
      <c r="A15" s="42">
        <v>3200</v>
      </c>
      <c r="B15" s="43" t="s">
        <v>18</v>
      </c>
      <c r="C15" s="65"/>
      <c r="D15" s="65"/>
      <c r="E15" s="65"/>
      <c r="F15" s="65"/>
      <c r="G15" s="65"/>
      <c r="H15" s="65"/>
      <c r="I15" s="3"/>
      <c r="J15" s="3"/>
    </row>
    <row r="16" spans="1:10" x14ac:dyDescent="0.25">
      <c r="A16" s="42">
        <v>4200</v>
      </c>
      <c r="B16" s="43" t="s">
        <v>19</v>
      </c>
      <c r="C16" s="65"/>
      <c r="D16" s="65"/>
      <c r="E16" s="65"/>
      <c r="F16" s="65"/>
      <c r="G16" s="65"/>
      <c r="H16" s="65"/>
      <c r="I16" s="3"/>
      <c r="J16" s="3"/>
    </row>
    <row r="17" spans="1:10" x14ac:dyDescent="0.25">
      <c r="A17" s="42">
        <v>4300</v>
      </c>
      <c r="B17" s="43" t="s">
        <v>20</v>
      </c>
      <c r="C17" s="65"/>
      <c r="D17" s="65"/>
      <c r="E17" s="65"/>
      <c r="F17" s="65"/>
      <c r="G17" s="65"/>
      <c r="H17" s="87"/>
      <c r="I17" s="61"/>
      <c r="J17" s="61"/>
    </row>
    <row r="18" spans="1:10" x14ac:dyDescent="0.25">
      <c r="A18" s="42">
        <v>5100</v>
      </c>
      <c r="B18" s="43" t="s">
        <v>22</v>
      </c>
      <c r="C18" s="65"/>
      <c r="D18" s="65"/>
      <c r="E18" s="65"/>
      <c r="F18" s="65"/>
      <c r="G18" s="65"/>
      <c r="H18" s="65">
        <f>300+136</f>
        <v>436</v>
      </c>
      <c r="I18" s="3"/>
      <c r="J18" s="3"/>
    </row>
    <row r="19" spans="1:10" x14ac:dyDescent="0.25">
      <c r="A19" s="42">
        <v>5200</v>
      </c>
      <c r="B19" s="43" t="s">
        <v>23</v>
      </c>
      <c r="C19" s="65"/>
      <c r="D19" s="65"/>
      <c r="E19" s="65"/>
      <c r="F19" s="65"/>
      <c r="G19" s="65"/>
      <c r="H19" s="65">
        <v>2000</v>
      </c>
      <c r="I19" s="3"/>
      <c r="J19" s="3"/>
    </row>
    <row r="20" spans="1:10" x14ac:dyDescent="0.25">
      <c r="A20" s="42">
        <v>6200</v>
      </c>
      <c r="B20" s="43" t="s">
        <v>24</v>
      </c>
      <c r="C20" s="65">
        <v>350000</v>
      </c>
      <c r="D20" s="90"/>
      <c r="E20" s="90"/>
      <c r="F20" s="90"/>
      <c r="G20" s="90"/>
      <c r="H20" s="65"/>
      <c r="I20" s="3"/>
      <c r="J20" s="3"/>
    </row>
    <row r="21" spans="1:10" x14ac:dyDescent="0.25">
      <c r="A21" s="675">
        <v>6400</v>
      </c>
      <c r="B21" s="5" t="s">
        <v>697</v>
      </c>
      <c r="C21" s="125"/>
      <c r="D21" s="124"/>
      <c r="E21" s="124"/>
      <c r="F21" s="124"/>
      <c r="G21" s="124"/>
      <c r="H21" s="68">
        <v>19500</v>
      </c>
      <c r="I21" s="3"/>
      <c r="J21" s="3"/>
    </row>
    <row r="22" spans="1:10" ht="15.75" thickBot="1" x14ac:dyDescent="0.3">
      <c r="A22" s="325">
        <v>7200</v>
      </c>
      <c r="B22" s="191" t="s">
        <v>25</v>
      </c>
      <c r="C22" s="125"/>
      <c r="D22" s="125"/>
      <c r="E22" s="125"/>
      <c r="F22" s="125"/>
      <c r="G22" s="125"/>
      <c r="H22" s="68"/>
      <c r="I22" s="3"/>
      <c r="J22" s="3"/>
    </row>
    <row r="23" spans="1:10" ht="16.5" thickBot="1" x14ac:dyDescent="0.3">
      <c r="A23" s="34"/>
      <c r="B23" s="107" t="s">
        <v>26</v>
      </c>
      <c r="C23" s="59">
        <f t="shared" ref="C23" si="3">SUM(C7+C8+C9+C15+C16+C17+C18+C19+C20+C22)</f>
        <v>682804</v>
      </c>
      <c r="D23" s="684">
        <f>SUM(D7+D8+D9+D15+D16+D17+D18+D19+D20+D22)</f>
        <v>590000</v>
      </c>
      <c r="E23" s="59">
        <f t="shared" ref="E23:G23" si="4">SUM(E7+E8+E9+E15+E16+E17+E18+E19+E20+E22)</f>
        <v>1908380</v>
      </c>
      <c r="F23" s="59">
        <f t="shared" si="4"/>
        <v>5278</v>
      </c>
      <c r="G23" s="59">
        <f t="shared" si="4"/>
        <v>7000</v>
      </c>
      <c r="H23" s="371">
        <f>SUM(H7+H8+H9+H15+H16+H17+H22+H19+H21+H18)</f>
        <v>917857</v>
      </c>
      <c r="I23" s="464"/>
      <c r="J23" s="464"/>
    </row>
    <row r="24" spans="1:10" x14ac:dyDescent="0.25">
      <c r="B24" s="60" t="s">
        <v>51</v>
      </c>
      <c r="C24" s="4"/>
      <c r="D24" s="4"/>
      <c r="E24" s="4"/>
      <c r="F24" s="4"/>
      <c r="G24" s="4"/>
      <c r="H24" s="1">
        <v>25592</v>
      </c>
    </row>
    <row r="25" spans="1:10" x14ac:dyDescent="0.25">
      <c r="C25" s="736"/>
      <c r="E25" s="825"/>
      <c r="F25" s="736"/>
      <c r="G25" s="736"/>
      <c r="H25" s="62">
        <f>H23+H24</f>
        <v>943449</v>
      </c>
    </row>
    <row r="27" spans="1:10" x14ac:dyDescent="0.25">
      <c r="B27" s="5" t="s">
        <v>916</v>
      </c>
      <c r="C27" s="192"/>
      <c r="D27" s="192"/>
      <c r="E27" s="192"/>
      <c r="F27" s="192"/>
      <c r="G27" s="192"/>
      <c r="H27" s="62"/>
      <c r="I27" s="62"/>
      <c r="J27" s="62"/>
    </row>
    <row r="28" spans="1:10" x14ac:dyDescent="0.25">
      <c r="C28" s="136"/>
      <c r="D28" s="136"/>
      <c r="E28" s="136"/>
      <c r="F28" s="136"/>
      <c r="G28" s="136"/>
      <c r="H28" s="136"/>
      <c r="I28" s="136"/>
      <c r="J28" s="136"/>
    </row>
    <row r="29" spans="1:10" x14ac:dyDescent="0.25">
      <c r="A29" s="736"/>
    </row>
    <row r="30" spans="1:10" x14ac:dyDescent="0.25">
      <c r="A30" s="6"/>
    </row>
    <row r="31" spans="1:10" x14ac:dyDescent="0.25">
      <c r="A31" s="6"/>
    </row>
    <row r="32" spans="1:10" x14ac:dyDescent="0.25">
      <c r="A32" s="6"/>
    </row>
  </sheetData>
  <pageMargins left="0.7" right="0.7" top="0.75" bottom="0.75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zoomScale="80" zoomScaleNormal="80" workbookViewId="0">
      <selection activeCell="N8" sqref="N8"/>
    </sheetView>
  </sheetViews>
  <sheetFormatPr defaultColWidth="9.140625" defaultRowHeight="15" x14ac:dyDescent="0.25"/>
  <cols>
    <col min="1" max="1" width="7.140625" style="1" customWidth="1"/>
    <col min="2" max="2" width="46.85546875" style="1" customWidth="1"/>
    <col min="3" max="3" width="10.85546875" style="1" customWidth="1"/>
    <col min="4" max="4" width="13" style="1" customWidth="1"/>
    <col min="5" max="5" width="14.42578125" style="1" customWidth="1"/>
    <col min="6" max="6" width="10.85546875" style="1" customWidth="1"/>
    <col min="7" max="7" width="12.85546875" style="1" customWidth="1"/>
    <col min="8" max="8" width="14" style="1" customWidth="1"/>
    <col min="9" max="9" width="13.5703125" style="1" customWidth="1"/>
    <col min="10" max="10" width="15.5703125" style="1" customWidth="1"/>
    <col min="11" max="11" width="11.42578125" style="1" customWidth="1"/>
    <col min="12" max="16384" width="9.140625" style="1"/>
  </cols>
  <sheetData>
    <row r="1" spans="1:9" x14ac:dyDescent="0.25">
      <c r="B1" s="2" t="s">
        <v>0</v>
      </c>
      <c r="I1" s="2" t="s">
        <v>203</v>
      </c>
    </row>
    <row r="3" spans="1:9" x14ac:dyDescent="0.25">
      <c r="A3" s="3" t="s">
        <v>37</v>
      </c>
      <c r="B3" s="3"/>
      <c r="C3" s="3"/>
    </row>
    <row r="4" spans="1:9" x14ac:dyDescent="0.25">
      <c r="B4" s="3" t="s">
        <v>714</v>
      </c>
      <c r="D4" s="874"/>
      <c r="E4" s="874"/>
    </row>
    <row r="5" spans="1:9" ht="31.5" customHeight="1" x14ac:dyDescent="0.25">
      <c r="A5" s="3" t="s">
        <v>91</v>
      </c>
      <c r="C5" s="33" t="s">
        <v>64</v>
      </c>
      <c r="D5" s="33" t="s">
        <v>65</v>
      </c>
      <c r="E5" s="33" t="s">
        <v>127</v>
      </c>
      <c r="F5" s="33" t="s">
        <v>143</v>
      </c>
      <c r="G5" s="736">
        <v>10.4001</v>
      </c>
      <c r="H5" s="6" t="s">
        <v>335</v>
      </c>
      <c r="I5" s="6" t="s">
        <v>179</v>
      </c>
    </row>
    <row r="6" spans="1:9" ht="105.75" thickBot="1" x14ac:dyDescent="0.3">
      <c r="C6" s="739" t="s">
        <v>933</v>
      </c>
      <c r="D6" s="739" t="s">
        <v>934</v>
      </c>
      <c r="E6" s="739" t="s">
        <v>128</v>
      </c>
      <c r="F6" s="5" t="s">
        <v>55</v>
      </c>
      <c r="G6" s="739" t="s">
        <v>207</v>
      </c>
      <c r="H6" s="739" t="s">
        <v>670</v>
      </c>
      <c r="I6" s="5" t="s">
        <v>659</v>
      </c>
    </row>
    <row r="7" spans="1:9" ht="38.25" customHeight="1" thickBot="1" x14ac:dyDescent="0.35">
      <c r="A7" s="108" t="s">
        <v>7</v>
      </c>
      <c r="B7" s="35" t="s">
        <v>10</v>
      </c>
      <c r="C7" s="109" t="s">
        <v>152</v>
      </c>
      <c r="D7" s="109" t="s">
        <v>152</v>
      </c>
      <c r="E7" s="109" t="s">
        <v>152</v>
      </c>
      <c r="F7" s="109" t="s">
        <v>152</v>
      </c>
      <c r="G7" s="109" t="s">
        <v>152</v>
      </c>
      <c r="H7" s="109" t="s">
        <v>152</v>
      </c>
      <c r="I7" s="109" t="s">
        <v>152</v>
      </c>
    </row>
    <row r="8" spans="1:9" x14ac:dyDescent="0.25">
      <c r="A8" s="96">
        <v>1100</v>
      </c>
      <c r="B8" s="97" t="s">
        <v>11</v>
      </c>
      <c r="C8" s="79">
        <v>2188223</v>
      </c>
      <c r="D8" s="110"/>
      <c r="E8" s="110">
        <v>1515192</v>
      </c>
      <c r="F8" s="110">
        <v>1200</v>
      </c>
      <c r="G8" s="105">
        <v>392112</v>
      </c>
      <c r="H8" s="105"/>
      <c r="I8" s="400"/>
    </row>
    <row r="9" spans="1:9" ht="26.25" customHeight="1" x14ac:dyDescent="0.25">
      <c r="A9" s="98">
        <v>1200</v>
      </c>
      <c r="B9" s="43" t="s">
        <v>12</v>
      </c>
      <c r="C9" s="44">
        <v>665510</v>
      </c>
      <c r="D9" s="65"/>
      <c r="E9" s="44">
        <v>376281</v>
      </c>
      <c r="F9" s="44">
        <v>283</v>
      </c>
      <c r="G9" s="44">
        <v>122050</v>
      </c>
      <c r="H9" s="44"/>
      <c r="I9" s="113"/>
    </row>
    <row r="10" spans="1:9" x14ac:dyDescent="0.25">
      <c r="A10" s="98">
        <v>2000</v>
      </c>
      <c r="B10" s="47" t="s">
        <v>13</v>
      </c>
      <c r="C10" s="65">
        <f>SUM(C11:C15)</f>
        <v>377973</v>
      </c>
      <c r="D10" s="65">
        <f t="shared" ref="D10:I10" si="0">SUM(D11:D15)</f>
        <v>0</v>
      </c>
      <c r="E10" s="65">
        <f t="shared" si="0"/>
        <v>0</v>
      </c>
      <c r="F10" s="65">
        <f t="shared" si="0"/>
        <v>0</v>
      </c>
      <c r="G10" s="65">
        <f t="shared" si="0"/>
        <v>33610</v>
      </c>
      <c r="H10" s="65">
        <f t="shared" si="0"/>
        <v>34000</v>
      </c>
      <c r="I10" s="65">
        <f t="shared" si="0"/>
        <v>0</v>
      </c>
    </row>
    <row r="11" spans="1:9" x14ac:dyDescent="0.25">
      <c r="A11" s="98">
        <v>2100</v>
      </c>
      <c r="B11" s="47" t="s">
        <v>14</v>
      </c>
      <c r="C11" s="65">
        <v>4918</v>
      </c>
      <c r="D11" s="65"/>
      <c r="E11" s="65"/>
      <c r="F11" s="65"/>
      <c r="G11" s="65">
        <v>860</v>
      </c>
      <c r="H11" s="65"/>
      <c r="I11" s="113"/>
    </row>
    <row r="12" spans="1:9" x14ac:dyDescent="0.25">
      <c r="A12" s="98">
        <v>2200</v>
      </c>
      <c r="B12" s="47" t="s">
        <v>15</v>
      </c>
      <c r="C12" s="65">
        <v>225420</v>
      </c>
      <c r="D12" s="65"/>
      <c r="E12" s="65"/>
      <c r="F12" s="65"/>
      <c r="G12" s="65">
        <v>20950</v>
      </c>
      <c r="H12" s="65">
        <v>34000</v>
      </c>
      <c r="I12" s="113"/>
    </row>
    <row r="13" spans="1:9" ht="30" x14ac:dyDescent="0.25">
      <c r="A13" s="98">
        <v>2300</v>
      </c>
      <c r="B13" s="43" t="s">
        <v>16</v>
      </c>
      <c r="C13" s="65">
        <v>146835</v>
      </c>
      <c r="D13" s="65"/>
      <c r="E13" s="65"/>
      <c r="F13" s="65"/>
      <c r="G13" s="65">
        <v>11600</v>
      </c>
      <c r="H13" s="65"/>
      <c r="I13" s="113"/>
    </row>
    <row r="14" spans="1:9" x14ac:dyDescent="0.25">
      <c r="A14" s="98">
        <v>2400</v>
      </c>
      <c r="B14" s="50" t="s">
        <v>46</v>
      </c>
      <c r="C14" s="65"/>
      <c r="D14" s="65"/>
      <c r="E14" s="65"/>
      <c r="F14" s="65"/>
      <c r="G14" s="68"/>
      <c r="H14" s="68"/>
      <c r="I14" s="113"/>
    </row>
    <row r="15" spans="1:9" x14ac:dyDescent="0.25">
      <c r="A15" s="98">
        <v>2500</v>
      </c>
      <c r="B15" s="47" t="s">
        <v>17</v>
      </c>
      <c r="C15" s="636">
        <v>800</v>
      </c>
      <c r="D15" s="65"/>
      <c r="E15" s="65"/>
      <c r="F15" s="65"/>
      <c r="G15" s="65">
        <v>200</v>
      </c>
      <c r="H15" s="65"/>
      <c r="I15" s="113"/>
    </row>
    <row r="16" spans="1:9" x14ac:dyDescent="0.25">
      <c r="A16" s="98">
        <v>3200</v>
      </c>
      <c r="B16" s="47" t="s">
        <v>18</v>
      </c>
      <c r="C16" s="65"/>
      <c r="D16" s="65"/>
      <c r="E16" s="65"/>
      <c r="F16" s="65"/>
      <c r="G16" s="65"/>
      <c r="H16" s="65">
        <v>2324</v>
      </c>
      <c r="I16" s="113">
        <v>100000</v>
      </c>
    </row>
    <row r="17" spans="1:22" x14ac:dyDescent="0.25">
      <c r="A17" s="98">
        <v>5100</v>
      </c>
      <c r="B17" s="47" t="s">
        <v>22</v>
      </c>
      <c r="C17" s="65">
        <v>1150</v>
      </c>
      <c r="D17" s="65"/>
      <c r="E17" s="65"/>
      <c r="F17" s="65"/>
      <c r="G17" s="65">
        <v>500</v>
      </c>
      <c r="H17" s="65"/>
      <c r="I17" s="113"/>
    </row>
    <row r="18" spans="1:22" x14ac:dyDescent="0.25">
      <c r="A18" s="98">
        <v>5200</v>
      </c>
      <c r="B18" s="47" t="s">
        <v>23</v>
      </c>
      <c r="C18" s="65">
        <v>7110</v>
      </c>
      <c r="D18" s="65"/>
      <c r="E18" s="65"/>
      <c r="F18" s="65"/>
      <c r="G18" s="65">
        <v>5900</v>
      </c>
      <c r="H18" s="65"/>
      <c r="I18" s="113"/>
    </row>
    <row r="19" spans="1:22" x14ac:dyDescent="0.25">
      <c r="A19" s="98">
        <v>6000</v>
      </c>
      <c r="B19" s="47" t="s">
        <v>44</v>
      </c>
      <c r="C19" s="64"/>
      <c r="D19" s="64">
        <f>SUM(D20:D22)</f>
        <v>5792175</v>
      </c>
      <c r="E19" s="64">
        <f>SUM(E20:E22)</f>
        <v>73689</v>
      </c>
      <c r="F19" s="64">
        <f>SUM(F20:F22)</f>
        <v>15000</v>
      </c>
      <c r="G19" s="64">
        <f>SUM(G20:G23)</f>
        <v>0</v>
      </c>
      <c r="H19" s="64">
        <f>SUM(H20:H23)</f>
        <v>144500</v>
      </c>
      <c r="I19" s="64">
        <f t="shared" ref="I19" si="1">SUM(I20:I23)</f>
        <v>0</v>
      </c>
    </row>
    <row r="20" spans="1:22" x14ac:dyDescent="0.25">
      <c r="A20" s="98">
        <v>6200</v>
      </c>
      <c r="B20" s="47" t="s">
        <v>24</v>
      </c>
      <c r="C20" s="64"/>
      <c r="D20" s="65">
        <f>1297777-8000-35000-5000</f>
        <v>1249777</v>
      </c>
      <c r="E20" s="64"/>
      <c r="F20" s="64">
        <v>15000</v>
      </c>
      <c r="G20" s="64"/>
      <c r="H20" s="64">
        <v>103500</v>
      </c>
      <c r="I20" s="113"/>
    </row>
    <row r="21" spans="1:22" x14ac:dyDescent="0.25">
      <c r="A21" s="98">
        <v>6300</v>
      </c>
      <c r="B21" s="47" t="s">
        <v>45</v>
      </c>
      <c r="C21" s="111"/>
      <c r="D21" s="65">
        <v>1173620</v>
      </c>
      <c r="E21" s="65"/>
      <c r="F21" s="111"/>
      <c r="G21" s="111"/>
      <c r="H21" s="65">
        <v>37000</v>
      </c>
      <c r="I21" s="113"/>
    </row>
    <row r="22" spans="1:22" x14ac:dyDescent="0.25">
      <c r="A22" s="98">
        <v>6400</v>
      </c>
      <c r="B22" s="47" t="s">
        <v>60</v>
      </c>
      <c r="C22" s="112"/>
      <c r="D22" s="65">
        <f>3499928-120000-750-10400</f>
        <v>3368778</v>
      </c>
      <c r="E22" s="65">
        <v>73689</v>
      </c>
      <c r="F22" s="113"/>
      <c r="G22" s="113"/>
      <c r="H22" s="65">
        <v>4000</v>
      </c>
      <c r="I22" s="113"/>
    </row>
    <row r="23" spans="1:22" ht="30" x14ac:dyDescent="0.25">
      <c r="A23" s="98">
        <v>6500</v>
      </c>
      <c r="B23" s="201" t="s">
        <v>197</v>
      </c>
      <c r="C23" s="112"/>
      <c r="D23" s="65"/>
      <c r="E23" s="65"/>
      <c r="F23" s="126"/>
      <c r="G23" s="125"/>
      <c r="H23" s="126"/>
      <c r="I23" s="113"/>
    </row>
    <row r="24" spans="1:22" ht="15.75" thickBot="1" x14ac:dyDescent="0.3">
      <c r="A24" s="98">
        <v>7200</v>
      </c>
      <c r="B24" s="47" t="s">
        <v>25</v>
      </c>
      <c r="C24" s="86"/>
      <c r="D24" s="65"/>
      <c r="E24" s="125"/>
      <c r="F24" s="114"/>
      <c r="G24" s="115"/>
      <c r="H24" s="115"/>
      <c r="I24" s="406"/>
    </row>
    <row r="25" spans="1:22" ht="15.75" thickBot="1" x14ac:dyDescent="0.3">
      <c r="A25" s="100"/>
      <c r="B25" s="58" t="s">
        <v>26</v>
      </c>
      <c r="C25" s="59">
        <f>SUM(C8+C9+C10+C16+C17+C18+C19+C24)</f>
        <v>3239966</v>
      </c>
      <c r="D25" s="59">
        <f t="shared" ref="D25:I25" si="2">SUM(D8+D9+D10+D16+D17+D18+D19+D24)</f>
        <v>5792175</v>
      </c>
      <c r="E25" s="59">
        <f t="shared" si="2"/>
        <v>1965162</v>
      </c>
      <c r="F25" s="59">
        <f t="shared" si="2"/>
        <v>16483</v>
      </c>
      <c r="G25" s="59">
        <f t="shared" si="2"/>
        <v>554172</v>
      </c>
      <c r="H25" s="59">
        <f t="shared" si="2"/>
        <v>180824</v>
      </c>
      <c r="I25" s="59">
        <f t="shared" si="2"/>
        <v>100000</v>
      </c>
      <c r="J25" s="136"/>
    </row>
    <row r="26" spans="1:22" x14ac:dyDescent="0.25">
      <c r="B26" s="63"/>
      <c r="C26" s="8"/>
      <c r="D26" s="8"/>
      <c r="E26" s="8"/>
      <c r="F26" s="8"/>
      <c r="G26" s="62"/>
      <c r="H26" s="62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</row>
    <row r="27" spans="1:22" x14ac:dyDescent="0.25">
      <c r="B27" s="63"/>
      <c r="C27" s="154"/>
      <c r="D27" s="154"/>
      <c r="E27" s="154"/>
      <c r="F27" s="154"/>
      <c r="G27" s="136"/>
      <c r="H27" s="136"/>
    </row>
    <row r="28" spans="1:22" x14ac:dyDescent="0.25">
      <c r="B28" s="63"/>
      <c r="C28" s="154"/>
      <c r="D28" s="154"/>
      <c r="E28" s="154"/>
      <c r="F28" s="154"/>
      <c r="G28" s="154"/>
      <c r="H28" s="154"/>
      <c r="I28" s="154"/>
    </row>
    <row r="29" spans="1:22" x14ac:dyDescent="0.25">
      <c r="B29" s="5" t="s">
        <v>916</v>
      </c>
      <c r="C29" s="5"/>
    </row>
    <row r="30" spans="1:22" x14ac:dyDescent="0.25">
      <c r="B30" s="2"/>
    </row>
  </sheetData>
  <pageMargins left="0.7" right="0.7" top="0.75" bottom="0.75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Normal="100" workbookViewId="0">
      <pane xSplit="2" ySplit="7" topLeftCell="C8" activePane="bottomRight" state="frozen"/>
      <selection pane="topRight" activeCell="E1" sqref="E1"/>
      <selection pane="bottomLeft" activeCell="A6" sqref="A6"/>
      <selection pane="bottomRight" activeCell="J6" sqref="J6"/>
    </sheetView>
  </sheetViews>
  <sheetFormatPr defaultColWidth="9.140625" defaultRowHeight="15" x14ac:dyDescent="0.25"/>
  <cols>
    <col min="1" max="1" width="7" style="1" customWidth="1"/>
    <col min="2" max="2" width="48.140625" style="5" customWidth="1"/>
    <col min="3" max="3" width="10" style="1" customWidth="1"/>
    <col min="4" max="4" width="8.85546875" style="1" customWidth="1"/>
    <col min="5" max="6" width="10.5703125" style="1" customWidth="1"/>
    <col min="7" max="7" width="9.140625" style="1" customWidth="1"/>
    <col min="8" max="8" width="10.140625" style="1" customWidth="1"/>
    <col min="9" max="9" width="10.140625" style="1" bestFit="1" customWidth="1"/>
    <col min="10" max="16384" width="9.140625" style="1"/>
  </cols>
  <sheetData>
    <row r="1" spans="1:8" x14ac:dyDescent="0.25">
      <c r="B1" s="2" t="s">
        <v>0</v>
      </c>
      <c r="H1" s="2" t="s">
        <v>203</v>
      </c>
    </row>
    <row r="3" spans="1:8" x14ac:dyDescent="0.25">
      <c r="A3" s="3" t="s">
        <v>40</v>
      </c>
      <c r="B3" s="3"/>
      <c r="C3" s="3"/>
      <c r="D3" s="3"/>
    </row>
    <row r="4" spans="1:8" x14ac:dyDescent="0.25">
      <c r="B4" s="73" t="s">
        <v>714</v>
      </c>
    </row>
    <row r="5" spans="1:8" x14ac:dyDescent="0.25">
      <c r="A5" s="906" t="s">
        <v>41</v>
      </c>
      <c r="B5" s="906"/>
      <c r="C5" s="33" t="s">
        <v>401</v>
      </c>
      <c r="D5" s="33" t="s">
        <v>156</v>
      </c>
      <c r="E5" s="33" t="s">
        <v>32</v>
      </c>
      <c r="F5" s="33" t="s">
        <v>149</v>
      </c>
      <c r="G5" s="33" t="s">
        <v>144</v>
      </c>
      <c r="H5" s="33" t="s">
        <v>145</v>
      </c>
    </row>
    <row r="6" spans="1:8" s="739" customFormat="1" ht="90.75" thickBot="1" x14ac:dyDescent="0.3">
      <c r="C6" s="739" t="s">
        <v>39</v>
      </c>
      <c r="D6" s="103" t="s">
        <v>157</v>
      </c>
      <c r="E6" s="739" t="s">
        <v>33</v>
      </c>
      <c r="F6" s="872" t="s">
        <v>919</v>
      </c>
      <c r="G6" s="739" t="s">
        <v>920</v>
      </c>
      <c r="H6" s="739" t="s">
        <v>921</v>
      </c>
    </row>
    <row r="7" spans="1:8" ht="33" customHeight="1" thickBot="1" x14ac:dyDescent="0.35">
      <c r="A7" s="116" t="s">
        <v>7</v>
      </c>
      <c r="B7" s="117" t="s">
        <v>10</v>
      </c>
      <c r="C7" s="36" t="s">
        <v>152</v>
      </c>
      <c r="D7" s="36" t="s">
        <v>152</v>
      </c>
      <c r="E7" s="36" t="s">
        <v>152</v>
      </c>
      <c r="F7" s="36" t="s">
        <v>152</v>
      </c>
      <c r="G7" s="36" t="s">
        <v>152</v>
      </c>
      <c r="H7" s="36" t="s">
        <v>152</v>
      </c>
    </row>
    <row r="8" spans="1:8" x14ac:dyDescent="0.25">
      <c r="A8" s="118">
        <v>1100</v>
      </c>
      <c r="B8" s="104" t="s">
        <v>11</v>
      </c>
      <c r="C8" s="79">
        <v>4804175</v>
      </c>
      <c r="D8" s="80">
        <f>15000+161398</f>
        <v>176398</v>
      </c>
      <c r="E8" s="80"/>
      <c r="F8" s="79"/>
      <c r="G8" s="80"/>
      <c r="H8" s="79"/>
    </row>
    <row r="9" spans="1:8" ht="30" customHeight="1" x14ac:dyDescent="0.25">
      <c r="A9" s="119">
        <v>1200</v>
      </c>
      <c r="B9" s="43" t="s">
        <v>12</v>
      </c>
      <c r="C9" s="44">
        <v>1394939</v>
      </c>
      <c r="D9" s="84">
        <f>3539+38074</f>
        <v>41613</v>
      </c>
      <c r="E9" s="90"/>
      <c r="F9" s="65"/>
      <c r="G9" s="90"/>
      <c r="H9" s="65"/>
    </row>
    <row r="10" spans="1:8" x14ac:dyDescent="0.25">
      <c r="A10" s="119">
        <v>2000</v>
      </c>
      <c r="B10" s="43" t="s">
        <v>13</v>
      </c>
      <c r="C10" s="44">
        <f t="shared" ref="C10:H10" si="0">SUM(C11:C15)</f>
        <v>1341803</v>
      </c>
      <c r="D10" s="44">
        <f t="shared" si="0"/>
        <v>16698</v>
      </c>
      <c r="E10" s="84">
        <f t="shared" si="0"/>
        <v>85286</v>
      </c>
      <c r="F10" s="84">
        <f t="shared" si="0"/>
        <v>0</v>
      </c>
      <c r="G10" s="84">
        <f t="shared" si="0"/>
        <v>0</v>
      </c>
      <c r="H10" s="44">
        <f t="shared" si="0"/>
        <v>302538</v>
      </c>
    </row>
    <row r="11" spans="1:8" x14ac:dyDescent="0.25">
      <c r="A11" s="119">
        <v>2100</v>
      </c>
      <c r="B11" s="43" t="s">
        <v>14</v>
      </c>
      <c r="C11" s="161">
        <v>12000</v>
      </c>
      <c r="D11" s="166"/>
      <c r="E11" s="167"/>
      <c r="F11" s="13"/>
      <c r="G11" s="167"/>
      <c r="H11" s="13"/>
    </row>
    <row r="12" spans="1:8" x14ac:dyDescent="0.25">
      <c r="A12" s="119">
        <v>2200</v>
      </c>
      <c r="B12" s="43" t="s">
        <v>15</v>
      </c>
      <c r="C12" s="13">
        <f>1148717+30000-495</f>
        <v>1178222</v>
      </c>
      <c r="D12" s="167">
        <v>8550</v>
      </c>
      <c r="E12" s="167">
        <v>85286</v>
      </c>
      <c r="F12" s="13"/>
      <c r="G12" s="445"/>
      <c r="H12" s="13">
        <f>500000-197462</f>
        <v>302538</v>
      </c>
    </row>
    <row r="13" spans="1:8" ht="30" x14ac:dyDescent="0.25">
      <c r="A13" s="119">
        <v>2300</v>
      </c>
      <c r="B13" s="43" t="s">
        <v>16</v>
      </c>
      <c r="C13" s="13">
        <f>118781-5200</f>
        <v>113581</v>
      </c>
      <c r="D13" s="167">
        <v>8148</v>
      </c>
      <c r="E13" s="167"/>
      <c r="F13" s="13"/>
      <c r="G13" s="445"/>
      <c r="H13" s="13"/>
    </row>
    <row r="14" spans="1:8" x14ac:dyDescent="0.25">
      <c r="A14" s="119">
        <v>2400</v>
      </c>
      <c r="B14" s="83" t="s">
        <v>47</v>
      </c>
      <c r="C14" s="446"/>
      <c r="D14" s="448"/>
      <c r="E14" s="167"/>
      <c r="F14" s="13"/>
      <c r="G14" s="167"/>
      <c r="H14" s="13"/>
    </row>
    <row r="15" spans="1:8" x14ac:dyDescent="0.25">
      <c r="A15" s="119">
        <v>2500</v>
      </c>
      <c r="B15" s="43" t="s">
        <v>17</v>
      </c>
      <c r="C15" s="13">
        <v>38000</v>
      </c>
      <c r="D15" s="167"/>
      <c r="E15" s="167"/>
      <c r="F15" s="13"/>
      <c r="G15" s="167"/>
      <c r="H15" s="13"/>
    </row>
    <row r="16" spans="1:8" s="3" customFormat="1" x14ac:dyDescent="0.25">
      <c r="A16" s="119">
        <v>4200</v>
      </c>
      <c r="B16" s="47" t="s">
        <v>19</v>
      </c>
      <c r="C16" s="13"/>
      <c r="D16" s="167"/>
      <c r="E16" s="167"/>
      <c r="F16" s="13"/>
      <c r="G16" s="167"/>
      <c r="H16" s="13"/>
    </row>
    <row r="17" spans="1:13" x14ac:dyDescent="0.25">
      <c r="A17" s="119">
        <v>4300</v>
      </c>
      <c r="B17" s="43" t="s">
        <v>20</v>
      </c>
      <c r="C17" s="13"/>
      <c r="D17" s="167"/>
      <c r="E17" s="167">
        <v>2763860</v>
      </c>
      <c r="F17" s="13"/>
      <c r="G17" s="167"/>
      <c r="H17" s="13"/>
      <c r="M17" s="1" t="s">
        <v>169</v>
      </c>
    </row>
    <row r="18" spans="1:13" x14ac:dyDescent="0.25">
      <c r="A18" s="119">
        <v>5100</v>
      </c>
      <c r="B18" s="43" t="s">
        <v>22</v>
      </c>
      <c r="C18" s="161">
        <v>12852</v>
      </c>
      <c r="D18" s="166"/>
      <c r="E18" s="167"/>
      <c r="F18" s="13"/>
      <c r="G18" s="167"/>
      <c r="H18" s="13"/>
    </row>
    <row r="19" spans="1:13" x14ac:dyDescent="0.25">
      <c r="A19" s="119">
        <v>5200</v>
      </c>
      <c r="B19" s="43" t="s">
        <v>23</v>
      </c>
      <c r="C19" s="13">
        <f>86958+5000+4200</f>
        <v>96158</v>
      </c>
      <c r="D19" s="167"/>
      <c r="E19" s="167"/>
      <c r="F19" s="13"/>
      <c r="G19" s="167"/>
      <c r="H19" s="13"/>
    </row>
    <row r="20" spans="1:13" x14ac:dyDescent="0.25">
      <c r="A20" s="120">
        <v>6200</v>
      </c>
      <c r="B20" s="47" t="s">
        <v>24</v>
      </c>
      <c r="C20" s="13">
        <v>22103</v>
      </c>
      <c r="D20" s="167"/>
      <c r="E20" s="167"/>
      <c r="F20" s="13"/>
      <c r="G20" s="167"/>
      <c r="H20" s="13"/>
    </row>
    <row r="21" spans="1:13" ht="30" x14ac:dyDescent="0.25">
      <c r="A21" s="121">
        <v>6500</v>
      </c>
      <c r="B21" s="5" t="s">
        <v>99</v>
      </c>
      <c r="C21" s="13">
        <v>1495</v>
      </c>
      <c r="D21" s="167"/>
      <c r="E21" s="167"/>
      <c r="F21" s="13"/>
      <c r="G21" s="167"/>
      <c r="H21" s="13"/>
    </row>
    <row r="22" spans="1:13" s="3" customFormat="1" x14ac:dyDescent="0.25">
      <c r="A22" s="122">
        <v>7200</v>
      </c>
      <c r="B22" s="83" t="s">
        <v>25</v>
      </c>
      <c r="C22" s="13"/>
      <c r="D22" s="167"/>
      <c r="E22" s="167"/>
      <c r="F22" s="13">
        <v>9323</v>
      </c>
      <c r="G22" s="167">
        <v>900000</v>
      </c>
      <c r="H22" s="13"/>
      <c r="L22" s="3" t="s">
        <v>169</v>
      </c>
    </row>
    <row r="23" spans="1:13" s="3" customFormat="1" ht="30" x14ac:dyDescent="0.25">
      <c r="A23" s="255">
        <v>7400</v>
      </c>
      <c r="B23" s="256" t="s">
        <v>206</v>
      </c>
      <c r="C23" s="13"/>
      <c r="D23" s="167"/>
      <c r="E23" s="167"/>
      <c r="F23" s="13"/>
      <c r="G23" s="167"/>
      <c r="H23" s="13"/>
    </row>
    <row r="24" spans="1:13" s="3" customFormat="1" x14ac:dyDescent="0.25">
      <c r="A24" s="156">
        <v>8100</v>
      </c>
      <c r="B24" s="12" t="s">
        <v>150</v>
      </c>
      <c r="C24" s="13"/>
      <c r="D24" s="167"/>
      <c r="E24" s="167"/>
      <c r="F24" s="13"/>
      <c r="G24" s="167"/>
      <c r="H24" s="13"/>
    </row>
    <row r="25" spans="1:13" ht="19.5" customHeight="1" thickBot="1" x14ac:dyDescent="0.3">
      <c r="A25" s="71">
        <v>9200</v>
      </c>
      <c r="B25" s="123" t="s">
        <v>97</v>
      </c>
      <c r="C25" s="449"/>
      <c r="D25" s="450"/>
      <c r="E25" s="450"/>
      <c r="F25" s="446"/>
      <c r="G25" s="447"/>
      <c r="H25" s="451"/>
    </row>
    <row r="26" spans="1:13" ht="15.75" thickBot="1" x14ac:dyDescent="0.3">
      <c r="A26" s="127"/>
      <c r="B26" s="107" t="s">
        <v>26</v>
      </c>
      <c r="C26" s="384">
        <f>SUM(C8+C9+C10+C16+C17+C18+C19+C20+C21+C22+C24)</f>
        <v>7673525</v>
      </c>
      <c r="D26" s="384">
        <f>SUM(D8+D9+D10+D16+D17+D18+D19+D20+D21+D22+D24)</f>
        <v>234709</v>
      </c>
      <c r="E26" s="384">
        <f>SUM(E8+E9+E10+E16+E17+E18+E19+E22)</f>
        <v>2849146</v>
      </c>
      <c r="F26" s="384">
        <f>SUM(F8+F9+F10+F16+F17+F18+F19+F22+F23+F24+F25)</f>
        <v>9323</v>
      </c>
      <c r="G26" s="452">
        <f>SUM(G8+G9+G10+G16+G17+G18+G19+G22+G25)</f>
        <v>900000</v>
      </c>
      <c r="H26" s="384">
        <f>SUM(H8+H9+H10+H16+H17+H18+H19+H22)</f>
        <v>302538</v>
      </c>
      <c r="I26" s="154"/>
    </row>
    <row r="27" spans="1:13" x14ac:dyDescent="0.25">
      <c r="B27" s="32"/>
    </row>
    <row r="28" spans="1:13" x14ac:dyDescent="0.25">
      <c r="B28" s="5" t="s">
        <v>916</v>
      </c>
      <c r="C28" s="128"/>
      <c r="D28" s="128"/>
    </row>
    <row r="29" spans="1:13" x14ac:dyDescent="0.25">
      <c r="C29" s="5"/>
      <c r="D29" s="5"/>
      <c r="M29" s="1" t="s">
        <v>169</v>
      </c>
    </row>
    <row r="30" spans="1:13" x14ac:dyDescent="0.25">
      <c r="C30" s="193"/>
      <c r="D30" s="193"/>
      <c r="E30" s="192"/>
      <c r="F30" s="192"/>
      <c r="G30" s="192"/>
      <c r="H30" s="192"/>
    </row>
    <row r="31" spans="1:13" x14ac:dyDescent="0.25">
      <c r="B31" s="907"/>
      <c r="C31" s="907"/>
      <c r="D31" s="907"/>
      <c r="E31" s="907"/>
      <c r="F31" s="907"/>
      <c r="G31" s="907"/>
      <c r="H31" s="907"/>
      <c r="I31" s="907"/>
    </row>
    <row r="32" spans="1:13" x14ac:dyDescent="0.25">
      <c r="B32" s="2"/>
      <c r="C32" s="8"/>
      <c r="D32" s="8"/>
      <c r="E32" s="8"/>
      <c r="F32" s="8"/>
      <c r="G32" s="8"/>
      <c r="H32" s="8"/>
      <c r="I32" s="736"/>
    </row>
    <row r="33" spans="2:12" x14ac:dyDescent="0.25">
      <c r="B33" s="265"/>
      <c r="C33" s="370"/>
      <c r="D33" s="370"/>
      <c r="E33" s="370"/>
      <c r="F33" s="370"/>
      <c r="G33" s="370"/>
      <c r="H33" s="370"/>
    </row>
    <row r="34" spans="2:12" x14ac:dyDescent="0.25">
      <c r="C34" s="4"/>
      <c r="D34" s="4"/>
    </row>
    <row r="35" spans="2:12" x14ac:dyDescent="0.25">
      <c r="B35" s="103"/>
    </row>
    <row r="38" spans="2:12" x14ac:dyDescent="0.25">
      <c r="B38" s="129"/>
    </row>
    <row r="39" spans="2:12" x14ac:dyDescent="0.25">
      <c r="B39" s="128"/>
      <c r="C39" s="130"/>
      <c r="D39" s="130"/>
      <c r="K39" s="735"/>
      <c r="L39" s="131"/>
    </row>
    <row r="40" spans="2:12" x14ac:dyDescent="0.25">
      <c r="B40" s="1"/>
      <c r="C40" s="131"/>
      <c r="D40" s="131"/>
      <c r="E40" s="4"/>
      <c r="F40" s="4"/>
      <c r="G40" s="4"/>
      <c r="L40" s="131"/>
    </row>
    <row r="41" spans="2:12" x14ac:dyDescent="0.25">
      <c r="C41" s="131"/>
      <c r="D41" s="131"/>
      <c r="L41" s="131"/>
    </row>
    <row r="42" spans="2:12" x14ac:dyDescent="0.25">
      <c r="C42" s="131"/>
      <c r="D42" s="131"/>
      <c r="L42" s="131"/>
    </row>
    <row r="43" spans="2:12" x14ac:dyDescent="0.25">
      <c r="C43" s="131"/>
      <c r="D43" s="131"/>
      <c r="L43" s="131"/>
    </row>
    <row r="44" spans="2:12" x14ac:dyDescent="0.25">
      <c r="C44" s="131"/>
      <c r="D44" s="131"/>
      <c r="L44" s="132"/>
    </row>
    <row r="45" spans="2:12" x14ac:dyDescent="0.25">
      <c r="C45" s="131"/>
      <c r="D45" s="131"/>
      <c r="L45" s="132"/>
    </row>
    <row r="46" spans="2:12" x14ac:dyDescent="0.25">
      <c r="B46" s="1"/>
      <c r="L46" s="132"/>
    </row>
    <row r="47" spans="2:12" x14ac:dyDescent="0.25">
      <c r="C47" s="131"/>
      <c r="D47" s="131"/>
      <c r="K47" s="3"/>
      <c r="L47" s="131"/>
    </row>
    <row r="48" spans="2:12" x14ac:dyDescent="0.25">
      <c r="B48" s="73"/>
      <c r="C48" s="132"/>
      <c r="D48" s="132"/>
      <c r="K48" s="3"/>
      <c r="L48" s="131"/>
    </row>
    <row r="49" spans="2:12" x14ac:dyDescent="0.25">
      <c r="C49" s="131"/>
      <c r="D49" s="131"/>
      <c r="H49" s="3"/>
      <c r="I49" s="3"/>
      <c r="J49" s="3"/>
      <c r="L49" s="131"/>
    </row>
    <row r="50" spans="2:12" x14ac:dyDescent="0.25">
      <c r="B50" s="73"/>
      <c r="C50" s="132"/>
      <c r="D50" s="132"/>
      <c r="H50" s="735"/>
      <c r="I50" s="735"/>
      <c r="J50" s="735"/>
    </row>
    <row r="51" spans="2:12" x14ac:dyDescent="0.25">
      <c r="B51" s="73"/>
      <c r="C51" s="131"/>
      <c r="D51" s="131"/>
      <c r="H51" s="4"/>
      <c r="I51" s="4"/>
      <c r="J51" s="4"/>
      <c r="K51" s="4"/>
      <c r="L51" s="131"/>
    </row>
    <row r="52" spans="2:12" x14ac:dyDescent="0.25">
      <c r="C52" s="131"/>
      <c r="D52" s="131"/>
      <c r="H52" s="908"/>
      <c r="I52" s="908"/>
      <c r="L52" s="131"/>
    </row>
    <row r="53" spans="2:12" x14ac:dyDescent="0.25">
      <c r="C53" s="131"/>
      <c r="D53" s="131"/>
      <c r="L53" s="131"/>
    </row>
    <row r="54" spans="2:12" x14ac:dyDescent="0.25">
      <c r="C54" s="131"/>
      <c r="D54" s="131"/>
      <c r="L54" s="132"/>
    </row>
    <row r="55" spans="2:12" x14ac:dyDescent="0.25">
      <c r="C55" s="131"/>
      <c r="D55" s="131"/>
      <c r="L55" s="132"/>
    </row>
    <row r="56" spans="2:12" x14ac:dyDescent="0.25">
      <c r="C56" s="131"/>
      <c r="D56" s="131"/>
      <c r="L56" s="131"/>
    </row>
    <row r="57" spans="2:12" x14ac:dyDescent="0.25">
      <c r="C57" s="132"/>
      <c r="D57" s="132"/>
      <c r="L57" s="132"/>
    </row>
    <row r="58" spans="2:12" x14ac:dyDescent="0.25">
      <c r="L58" s="132"/>
    </row>
    <row r="60" spans="2:12" x14ac:dyDescent="0.25">
      <c r="E60" s="4"/>
      <c r="F60" s="4"/>
      <c r="G60" s="4"/>
      <c r="H60" s="4"/>
      <c r="I60" s="4"/>
      <c r="J60" s="4"/>
    </row>
  </sheetData>
  <mergeCells count="3">
    <mergeCell ref="A5:B5"/>
    <mergeCell ref="B31:I31"/>
    <mergeCell ref="H52:I52"/>
  </mergeCells>
  <phoneticPr fontId="0" type="noConversion"/>
  <pageMargins left="0.15748031496062992" right="0.15748031496062992" top="0.19685039370078741" bottom="0.59055118110236227" header="0.11811023622047245" footer="0.51181102362204722"/>
  <pageSetup paperSize="9" scale="86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B6" sqref="B6"/>
    </sheetView>
  </sheetViews>
  <sheetFormatPr defaultColWidth="9.140625" defaultRowHeight="15" x14ac:dyDescent="0.25"/>
  <cols>
    <col min="1" max="1" width="7.140625" style="1" customWidth="1"/>
    <col min="2" max="2" width="46.140625" style="5" customWidth="1"/>
    <col min="3" max="3" width="11.140625" style="1" customWidth="1"/>
    <col min="4" max="4" width="11.5703125" style="1" customWidth="1"/>
    <col min="5" max="5" width="12" style="1" customWidth="1"/>
    <col min="6" max="16384" width="9.140625" style="1"/>
  </cols>
  <sheetData>
    <row r="1" spans="1:6" x14ac:dyDescent="0.25">
      <c r="B1" s="103" t="s">
        <v>0</v>
      </c>
      <c r="D1" s="1" t="s">
        <v>203</v>
      </c>
    </row>
    <row r="2" spans="1:6" x14ac:dyDescent="0.25">
      <c r="B2" s="103"/>
    </row>
    <row r="3" spans="1:6" x14ac:dyDescent="0.25">
      <c r="A3" s="3" t="s">
        <v>36</v>
      </c>
    </row>
    <row r="4" spans="1:6" ht="29.25" x14ac:dyDescent="0.25">
      <c r="B4" s="73" t="s">
        <v>714</v>
      </c>
    </row>
    <row r="5" spans="1:6" x14ac:dyDescent="0.25">
      <c r="A5" s="3" t="s">
        <v>91</v>
      </c>
      <c r="C5" s="33" t="s">
        <v>140</v>
      </c>
      <c r="D5" s="33" t="s">
        <v>141</v>
      </c>
      <c r="E5" s="33" t="s">
        <v>142</v>
      </c>
    </row>
    <row r="6" spans="1:6" s="5" customFormat="1" ht="75.75" thickBot="1" x14ac:dyDescent="0.3">
      <c r="B6" s="73"/>
      <c r="C6" s="739" t="s">
        <v>30</v>
      </c>
      <c r="D6" s="739" t="s">
        <v>922</v>
      </c>
      <c r="E6" s="739" t="s">
        <v>923</v>
      </c>
    </row>
    <row r="7" spans="1:6" ht="31.5" customHeight="1" thickBot="1" x14ac:dyDescent="0.35">
      <c r="A7" s="159" t="s">
        <v>7</v>
      </c>
      <c r="B7" s="160" t="s">
        <v>10</v>
      </c>
      <c r="C7" s="158" t="s">
        <v>152</v>
      </c>
      <c r="D7" s="158" t="s">
        <v>152</v>
      </c>
      <c r="E7" s="158" t="s">
        <v>152</v>
      </c>
    </row>
    <row r="8" spans="1:6" x14ac:dyDescent="0.25">
      <c r="A8" s="101">
        <v>1100</v>
      </c>
      <c r="B8" s="104" t="s">
        <v>11</v>
      </c>
      <c r="C8" s="79">
        <v>1313340</v>
      </c>
      <c r="D8" s="125">
        <v>61320</v>
      </c>
      <c r="E8" s="105"/>
      <c r="F8" s="136"/>
    </row>
    <row r="9" spans="1:6" ht="29.25" customHeight="1" x14ac:dyDescent="0.25">
      <c r="A9" s="42">
        <v>1200</v>
      </c>
      <c r="B9" s="43" t="s">
        <v>12</v>
      </c>
      <c r="C9" s="425">
        <v>643057</v>
      </c>
      <c r="D9" s="44">
        <v>14465</v>
      </c>
      <c r="E9" s="44"/>
      <c r="F9" s="136"/>
    </row>
    <row r="10" spans="1:6" x14ac:dyDescent="0.25">
      <c r="A10" s="42">
        <v>2000</v>
      </c>
      <c r="B10" s="43" t="s">
        <v>13</v>
      </c>
      <c r="C10" s="65">
        <f>SUM(C11:C15)</f>
        <v>363406</v>
      </c>
      <c r="D10" s="65">
        <f>SUM(D11:D15)</f>
        <v>34700</v>
      </c>
      <c r="E10" s="65">
        <f>SUM(E11:E15)</f>
        <v>17966</v>
      </c>
      <c r="F10" s="136"/>
    </row>
    <row r="11" spans="1:6" x14ac:dyDescent="0.25">
      <c r="A11" s="42">
        <v>2100</v>
      </c>
      <c r="B11" s="43" t="s">
        <v>14</v>
      </c>
      <c r="C11" s="88"/>
      <c r="D11" s="88"/>
      <c r="E11" s="65"/>
      <c r="F11" s="136"/>
    </row>
    <row r="12" spans="1:6" x14ac:dyDescent="0.25">
      <c r="A12" s="42">
        <v>2200</v>
      </c>
      <c r="B12" s="43" t="s">
        <v>15</v>
      </c>
      <c r="C12" s="88">
        <v>216861</v>
      </c>
      <c r="D12" s="65">
        <v>34700</v>
      </c>
      <c r="E12" s="65">
        <f>10000+66</f>
        <v>10066</v>
      </c>
      <c r="F12" s="136"/>
    </row>
    <row r="13" spans="1:6" ht="30" x14ac:dyDescent="0.25">
      <c r="A13" s="42">
        <v>2300</v>
      </c>
      <c r="B13" s="43" t="s">
        <v>16</v>
      </c>
      <c r="C13" s="88">
        <v>141545</v>
      </c>
      <c r="D13" s="65"/>
      <c r="E13" s="65">
        <v>7900</v>
      </c>
      <c r="F13" s="136"/>
    </row>
    <row r="14" spans="1:6" x14ac:dyDescent="0.25">
      <c r="A14" s="42">
        <v>2400</v>
      </c>
      <c r="B14" s="50" t="s">
        <v>46</v>
      </c>
      <c r="C14" s="88"/>
      <c r="D14" s="106"/>
      <c r="E14" s="68"/>
      <c r="F14" s="136"/>
    </row>
    <row r="15" spans="1:6" x14ac:dyDescent="0.25">
      <c r="A15" s="42">
        <v>2500</v>
      </c>
      <c r="B15" s="43" t="s">
        <v>17</v>
      </c>
      <c r="C15" s="88">
        <v>5000</v>
      </c>
      <c r="D15" s="88"/>
      <c r="E15" s="65"/>
      <c r="F15" s="136"/>
    </row>
    <row r="16" spans="1:6" x14ac:dyDescent="0.25">
      <c r="A16" s="42">
        <v>4200</v>
      </c>
      <c r="B16" s="43" t="s">
        <v>19</v>
      </c>
      <c r="C16" s="88"/>
      <c r="D16" s="88"/>
      <c r="E16" s="65"/>
      <c r="F16" s="136"/>
    </row>
    <row r="17" spans="1:6" x14ac:dyDescent="0.25">
      <c r="A17" s="42">
        <v>4300</v>
      </c>
      <c r="B17" s="43" t="s">
        <v>20</v>
      </c>
      <c r="C17" s="88"/>
      <c r="D17" s="88"/>
      <c r="E17" s="65"/>
      <c r="F17" s="136"/>
    </row>
    <row r="18" spans="1:6" x14ac:dyDescent="0.25">
      <c r="A18" s="42">
        <v>5100</v>
      </c>
      <c r="B18" s="43" t="s">
        <v>22</v>
      </c>
      <c r="C18" s="65"/>
      <c r="D18" s="65"/>
      <c r="E18" s="65"/>
      <c r="F18" s="136"/>
    </row>
    <row r="19" spans="1:6" x14ac:dyDescent="0.25">
      <c r="A19" s="42">
        <v>5200</v>
      </c>
      <c r="B19" s="43" t="s">
        <v>23</v>
      </c>
      <c r="C19" s="65">
        <v>216200</v>
      </c>
      <c r="D19" s="90"/>
      <c r="E19" s="90">
        <v>13000</v>
      </c>
      <c r="F19" s="136"/>
    </row>
    <row r="20" spans="1:6" x14ac:dyDescent="0.25">
      <c r="A20" s="42">
        <v>6000</v>
      </c>
      <c r="B20" s="43" t="s">
        <v>44</v>
      </c>
      <c r="C20" s="88">
        <f>SUM(C21:C22)</f>
        <v>0</v>
      </c>
      <c r="D20" s="88">
        <f>SUM(D21:D22)</f>
        <v>0</v>
      </c>
      <c r="E20" s="88">
        <f>SUM(E21:E22)</f>
        <v>0</v>
      </c>
      <c r="F20" s="136"/>
    </row>
    <row r="21" spans="1:6" s="4" customFormat="1" x14ac:dyDescent="0.25">
      <c r="A21" s="42">
        <v>6200</v>
      </c>
      <c r="B21" s="43" t="s">
        <v>24</v>
      </c>
      <c r="C21" s="88"/>
      <c r="D21" s="88"/>
      <c r="E21" s="65"/>
      <c r="F21" s="136"/>
    </row>
    <row r="22" spans="1:6" x14ac:dyDescent="0.25">
      <c r="A22" s="42">
        <v>6300</v>
      </c>
      <c r="B22" s="43" t="s">
        <v>45</v>
      </c>
      <c r="C22" s="91"/>
      <c r="D22" s="91"/>
      <c r="E22" s="88"/>
      <c r="F22" s="136"/>
    </row>
    <row r="23" spans="1:6" ht="15.75" thickBot="1" x14ac:dyDescent="0.3">
      <c r="A23" s="42">
        <v>7200</v>
      </c>
      <c r="B23" s="43" t="s">
        <v>25</v>
      </c>
      <c r="C23" s="88"/>
      <c r="D23" s="88"/>
      <c r="E23" s="88"/>
      <c r="F23" s="136"/>
    </row>
    <row r="24" spans="1:6" ht="15.75" thickBot="1" x14ac:dyDescent="0.3">
      <c r="A24" s="34"/>
      <c r="B24" s="107" t="s">
        <v>26</v>
      </c>
      <c r="C24" s="59">
        <f>SUM(C8+C9+C10+C16+C17+C18+C19+C20+C23)</f>
        <v>2536003</v>
      </c>
      <c r="D24" s="59">
        <f>SUM(D8+D9+D10+D16+D17+D18+D19+D20+D23)</f>
        <v>110485</v>
      </c>
      <c r="E24" s="69">
        <f>SUM(E8+E9+E10+E16+E17+E18+E19+E20+E23)</f>
        <v>30966</v>
      </c>
      <c r="F24" s="136"/>
    </row>
    <row r="25" spans="1:6" x14ac:dyDescent="0.25">
      <c r="B25" s="63"/>
      <c r="E25" s="3"/>
    </row>
    <row r="26" spans="1:6" x14ac:dyDescent="0.25">
      <c r="B26" s="5" t="s">
        <v>916</v>
      </c>
    </row>
    <row r="27" spans="1:6" x14ac:dyDescent="0.25">
      <c r="B27" s="103"/>
    </row>
    <row r="28" spans="1:6" x14ac:dyDescent="0.25">
      <c r="B28" s="2"/>
      <c r="C28" s="136"/>
      <c r="D28" s="136"/>
      <c r="E28" s="136"/>
    </row>
    <row r="29" spans="1:6" x14ac:dyDescent="0.25">
      <c r="B29" s="257"/>
    </row>
    <row r="30" spans="1:6" x14ac:dyDescent="0.25">
      <c r="B30" s="19"/>
      <c r="C30" s="19"/>
      <c r="D30" s="19"/>
      <c r="E30" s="19"/>
      <c r="F30" s="19"/>
    </row>
  </sheetData>
  <pageMargins left="0.7" right="0.7" top="0.75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J10" sqref="J10"/>
    </sheetView>
  </sheetViews>
  <sheetFormatPr defaultRowHeight="15" x14ac:dyDescent="0.25"/>
  <cols>
    <col min="1" max="1" width="64.42578125" style="1" customWidth="1"/>
    <col min="2" max="2" width="9.140625" style="1" customWidth="1"/>
    <col min="3" max="3" width="12.5703125" style="1" customWidth="1"/>
    <col min="4" max="4" width="9.5703125" style="1" customWidth="1"/>
    <col min="5" max="5" width="12" style="1" customWidth="1"/>
    <col min="6" max="6" width="18" style="1" customWidth="1"/>
    <col min="7" max="7" width="9.85546875" style="1" customWidth="1"/>
    <col min="8" max="244" width="9.140625" style="1"/>
    <col min="245" max="245" width="50.42578125" style="1" customWidth="1"/>
    <col min="246" max="246" width="9.140625" style="1" customWidth="1"/>
    <col min="247" max="247" width="12.5703125" style="1" customWidth="1"/>
    <col min="248" max="500" width="9.140625" style="1"/>
    <col min="501" max="501" width="50.42578125" style="1" customWidth="1"/>
    <col min="502" max="502" width="9.140625" style="1" customWidth="1"/>
    <col min="503" max="503" width="12.5703125" style="1" customWidth="1"/>
    <col min="504" max="756" width="9.140625" style="1"/>
    <col min="757" max="757" width="50.42578125" style="1" customWidth="1"/>
    <col min="758" max="758" width="9.140625" style="1" customWidth="1"/>
    <col min="759" max="759" width="12.5703125" style="1" customWidth="1"/>
    <col min="760" max="1012" width="9.140625" style="1"/>
    <col min="1013" max="1013" width="50.42578125" style="1" customWidth="1"/>
    <col min="1014" max="1014" width="9.140625" style="1" customWidth="1"/>
    <col min="1015" max="1015" width="12.5703125" style="1" customWidth="1"/>
    <col min="1016" max="1268" width="9.140625" style="1"/>
    <col min="1269" max="1269" width="50.42578125" style="1" customWidth="1"/>
    <col min="1270" max="1270" width="9.140625" style="1" customWidth="1"/>
    <col min="1271" max="1271" width="12.5703125" style="1" customWidth="1"/>
    <col min="1272" max="1524" width="9.140625" style="1"/>
    <col min="1525" max="1525" width="50.42578125" style="1" customWidth="1"/>
    <col min="1526" max="1526" width="9.140625" style="1" customWidth="1"/>
    <col min="1527" max="1527" width="12.5703125" style="1" customWidth="1"/>
    <col min="1528" max="1780" width="9.140625" style="1"/>
    <col min="1781" max="1781" width="50.42578125" style="1" customWidth="1"/>
    <col min="1782" max="1782" width="9.140625" style="1" customWidth="1"/>
    <col min="1783" max="1783" width="12.5703125" style="1" customWidth="1"/>
    <col min="1784" max="2036" width="9.140625" style="1"/>
    <col min="2037" max="2037" width="50.42578125" style="1" customWidth="1"/>
    <col min="2038" max="2038" width="9.140625" style="1" customWidth="1"/>
    <col min="2039" max="2039" width="12.5703125" style="1" customWidth="1"/>
    <col min="2040" max="2292" width="9.140625" style="1"/>
    <col min="2293" max="2293" width="50.42578125" style="1" customWidth="1"/>
    <col min="2294" max="2294" width="9.140625" style="1" customWidth="1"/>
    <col min="2295" max="2295" width="12.5703125" style="1" customWidth="1"/>
    <col min="2296" max="2548" width="9.140625" style="1"/>
    <col min="2549" max="2549" width="50.42578125" style="1" customWidth="1"/>
    <col min="2550" max="2550" width="9.140625" style="1" customWidth="1"/>
    <col min="2551" max="2551" width="12.5703125" style="1" customWidth="1"/>
    <col min="2552" max="2804" width="9.140625" style="1"/>
    <col min="2805" max="2805" width="50.42578125" style="1" customWidth="1"/>
    <col min="2806" max="2806" width="9.140625" style="1" customWidth="1"/>
    <col min="2807" max="2807" width="12.5703125" style="1" customWidth="1"/>
    <col min="2808" max="3060" width="9.140625" style="1"/>
    <col min="3061" max="3061" width="50.42578125" style="1" customWidth="1"/>
    <col min="3062" max="3062" width="9.140625" style="1" customWidth="1"/>
    <col min="3063" max="3063" width="12.5703125" style="1" customWidth="1"/>
    <col min="3064" max="3316" width="9.140625" style="1"/>
    <col min="3317" max="3317" width="50.42578125" style="1" customWidth="1"/>
    <col min="3318" max="3318" width="9.140625" style="1" customWidth="1"/>
    <col min="3319" max="3319" width="12.5703125" style="1" customWidth="1"/>
    <col min="3320" max="3572" width="9.140625" style="1"/>
    <col min="3573" max="3573" width="50.42578125" style="1" customWidth="1"/>
    <col min="3574" max="3574" width="9.140625" style="1" customWidth="1"/>
    <col min="3575" max="3575" width="12.5703125" style="1" customWidth="1"/>
    <col min="3576" max="3828" width="9.140625" style="1"/>
    <col min="3829" max="3829" width="50.42578125" style="1" customWidth="1"/>
    <col min="3830" max="3830" width="9.140625" style="1" customWidth="1"/>
    <col min="3831" max="3831" width="12.5703125" style="1" customWidth="1"/>
    <col min="3832" max="4084" width="9.140625" style="1"/>
    <col min="4085" max="4085" width="50.42578125" style="1" customWidth="1"/>
    <col min="4086" max="4086" width="9.140625" style="1" customWidth="1"/>
    <col min="4087" max="4087" width="12.5703125" style="1" customWidth="1"/>
    <col min="4088" max="4340" width="9.140625" style="1"/>
    <col min="4341" max="4341" width="50.42578125" style="1" customWidth="1"/>
    <col min="4342" max="4342" width="9.140625" style="1" customWidth="1"/>
    <col min="4343" max="4343" width="12.5703125" style="1" customWidth="1"/>
    <col min="4344" max="4596" width="9.140625" style="1"/>
    <col min="4597" max="4597" width="50.42578125" style="1" customWidth="1"/>
    <col min="4598" max="4598" width="9.140625" style="1" customWidth="1"/>
    <col min="4599" max="4599" width="12.5703125" style="1" customWidth="1"/>
    <col min="4600" max="4852" width="9.140625" style="1"/>
    <col min="4853" max="4853" width="50.42578125" style="1" customWidth="1"/>
    <col min="4854" max="4854" width="9.140625" style="1" customWidth="1"/>
    <col min="4855" max="4855" width="12.5703125" style="1" customWidth="1"/>
    <col min="4856" max="5108" width="9.140625" style="1"/>
    <col min="5109" max="5109" width="50.42578125" style="1" customWidth="1"/>
    <col min="5110" max="5110" width="9.140625" style="1" customWidth="1"/>
    <col min="5111" max="5111" width="12.5703125" style="1" customWidth="1"/>
    <col min="5112" max="5364" width="9.140625" style="1"/>
    <col min="5365" max="5365" width="50.42578125" style="1" customWidth="1"/>
    <col min="5366" max="5366" width="9.140625" style="1" customWidth="1"/>
    <col min="5367" max="5367" width="12.5703125" style="1" customWidth="1"/>
    <col min="5368" max="5620" width="9.140625" style="1"/>
    <col min="5621" max="5621" width="50.42578125" style="1" customWidth="1"/>
    <col min="5622" max="5622" width="9.140625" style="1" customWidth="1"/>
    <col min="5623" max="5623" width="12.5703125" style="1" customWidth="1"/>
    <col min="5624" max="5876" width="9.140625" style="1"/>
    <col min="5877" max="5877" width="50.42578125" style="1" customWidth="1"/>
    <col min="5878" max="5878" width="9.140625" style="1" customWidth="1"/>
    <col min="5879" max="5879" width="12.5703125" style="1" customWidth="1"/>
    <col min="5880" max="6132" width="9.140625" style="1"/>
    <col min="6133" max="6133" width="50.42578125" style="1" customWidth="1"/>
    <col min="6134" max="6134" width="9.140625" style="1" customWidth="1"/>
    <col min="6135" max="6135" width="12.5703125" style="1" customWidth="1"/>
    <col min="6136" max="6388" width="9.140625" style="1"/>
    <col min="6389" max="6389" width="50.42578125" style="1" customWidth="1"/>
    <col min="6390" max="6390" width="9.140625" style="1" customWidth="1"/>
    <col min="6391" max="6391" width="12.5703125" style="1" customWidth="1"/>
    <col min="6392" max="6644" width="9.140625" style="1"/>
    <col min="6645" max="6645" width="50.42578125" style="1" customWidth="1"/>
    <col min="6646" max="6646" width="9.140625" style="1" customWidth="1"/>
    <col min="6647" max="6647" width="12.5703125" style="1" customWidth="1"/>
    <col min="6648" max="6900" width="9.140625" style="1"/>
    <col min="6901" max="6901" width="50.42578125" style="1" customWidth="1"/>
    <col min="6902" max="6902" width="9.140625" style="1" customWidth="1"/>
    <col min="6903" max="6903" width="12.5703125" style="1" customWidth="1"/>
    <col min="6904" max="7156" width="9.140625" style="1"/>
    <col min="7157" max="7157" width="50.42578125" style="1" customWidth="1"/>
    <col min="7158" max="7158" width="9.140625" style="1" customWidth="1"/>
    <col min="7159" max="7159" width="12.5703125" style="1" customWidth="1"/>
    <col min="7160" max="7412" width="9.140625" style="1"/>
    <col min="7413" max="7413" width="50.42578125" style="1" customWidth="1"/>
    <col min="7414" max="7414" width="9.140625" style="1" customWidth="1"/>
    <col min="7415" max="7415" width="12.5703125" style="1" customWidth="1"/>
    <col min="7416" max="7668" width="9.140625" style="1"/>
    <col min="7669" max="7669" width="50.42578125" style="1" customWidth="1"/>
    <col min="7670" max="7670" width="9.140625" style="1" customWidth="1"/>
    <col min="7671" max="7671" width="12.5703125" style="1" customWidth="1"/>
    <col min="7672" max="7924" width="9.140625" style="1"/>
    <col min="7925" max="7925" width="50.42578125" style="1" customWidth="1"/>
    <col min="7926" max="7926" width="9.140625" style="1" customWidth="1"/>
    <col min="7927" max="7927" width="12.5703125" style="1" customWidth="1"/>
    <col min="7928" max="8180" width="9.140625" style="1"/>
    <col min="8181" max="8181" width="50.42578125" style="1" customWidth="1"/>
    <col min="8182" max="8182" width="9.140625" style="1" customWidth="1"/>
    <col min="8183" max="8183" width="12.5703125" style="1" customWidth="1"/>
    <col min="8184" max="8436" width="9.140625" style="1"/>
    <col min="8437" max="8437" width="50.42578125" style="1" customWidth="1"/>
    <col min="8438" max="8438" width="9.140625" style="1" customWidth="1"/>
    <col min="8439" max="8439" width="12.5703125" style="1" customWidth="1"/>
    <col min="8440" max="8692" width="9.140625" style="1"/>
    <col min="8693" max="8693" width="50.42578125" style="1" customWidth="1"/>
    <col min="8694" max="8694" width="9.140625" style="1" customWidth="1"/>
    <col min="8695" max="8695" width="12.5703125" style="1" customWidth="1"/>
    <col min="8696" max="8948" width="9.140625" style="1"/>
    <col min="8949" max="8949" width="50.42578125" style="1" customWidth="1"/>
    <col min="8950" max="8950" width="9.140625" style="1" customWidth="1"/>
    <col min="8951" max="8951" width="12.5703125" style="1" customWidth="1"/>
    <col min="8952" max="9204" width="9.140625" style="1"/>
    <col min="9205" max="9205" width="50.42578125" style="1" customWidth="1"/>
    <col min="9206" max="9206" width="9.140625" style="1" customWidth="1"/>
    <col min="9207" max="9207" width="12.5703125" style="1" customWidth="1"/>
    <col min="9208" max="9460" width="9.140625" style="1"/>
    <col min="9461" max="9461" width="50.42578125" style="1" customWidth="1"/>
    <col min="9462" max="9462" width="9.140625" style="1" customWidth="1"/>
    <col min="9463" max="9463" width="12.5703125" style="1" customWidth="1"/>
    <col min="9464" max="9716" width="9.140625" style="1"/>
    <col min="9717" max="9717" width="50.42578125" style="1" customWidth="1"/>
    <col min="9718" max="9718" width="9.140625" style="1" customWidth="1"/>
    <col min="9719" max="9719" width="12.5703125" style="1" customWidth="1"/>
    <col min="9720" max="9972" width="9.140625" style="1"/>
    <col min="9973" max="9973" width="50.42578125" style="1" customWidth="1"/>
    <col min="9974" max="9974" width="9.140625" style="1" customWidth="1"/>
    <col min="9975" max="9975" width="12.5703125" style="1" customWidth="1"/>
    <col min="9976" max="10228" width="9.140625" style="1"/>
    <col min="10229" max="10229" width="50.42578125" style="1" customWidth="1"/>
    <col min="10230" max="10230" width="9.140625" style="1" customWidth="1"/>
    <col min="10231" max="10231" width="12.5703125" style="1" customWidth="1"/>
    <col min="10232" max="10484" width="9.140625" style="1"/>
    <col min="10485" max="10485" width="50.42578125" style="1" customWidth="1"/>
    <col min="10486" max="10486" width="9.140625" style="1" customWidth="1"/>
    <col min="10487" max="10487" width="12.5703125" style="1" customWidth="1"/>
    <col min="10488" max="10740" width="9.140625" style="1"/>
    <col min="10741" max="10741" width="50.42578125" style="1" customWidth="1"/>
    <col min="10742" max="10742" width="9.140625" style="1" customWidth="1"/>
    <col min="10743" max="10743" width="12.5703125" style="1" customWidth="1"/>
    <col min="10744" max="10996" width="9.140625" style="1"/>
    <col min="10997" max="10997" width="50.42578125" style="1" customWidth="1"/>
    <col min="10998" max="10998" width="9.140625" style="1" customWidth="1"/>
    <col min="10999" max="10999" width="12.5703125" style="1" customWidth="1"/>
    <col min="11000" max="11252" width="9.140625" style="1"/>
    <col min="11253" max="11253" width="50.42578125" style="1" customWidth="1"/>
    <col min="11254" max="11254" width="9.140625" style="1" customWidth="1"/>
    <col min="11255" max="11255" width="12.5703125" style="1" customWidth="1"/>
    <col min="11256" max="11508" width="9.140625" style="1"/>
    <col min="11509" max="11509" width="50.42578125" style="1" customWidth="1"/>
    <col min="11510" max="11510" width="9.140625" style="1" customWidth="1"/>
    <col min="11511" max="11511" width="12.5703125" style="1" customWidth="1"/>
    <col min="11512" max="11764" width="9.140625" style="1"/>
    <col min="11765" max="11765" width="50.42578125" style="1" customWidth="1"/>
    <col min="11766" max="11766" width="9.140625" style="1" customWidth="1"/>
    <col min="11767" max="11767" width="12.5703125" style="1" customWidth="1"/>
    <col min="11768" max="12020" width="9.140625" style="1"/>
    <col min="12021" max="12021" width="50.42578125" style="1" customWidth="1"/>
    <col min="12022" max="12022" width="9.140625" style="1" customWidth="1"/>
    <col min="12023" max="12023" width="12.5703125" style="1" customWidth="1"/>
    <col min="12024" max="12276" width="9.140625" style="1"/>
    <col min="12277" max="12277" width="50.42578125" style="1" customWidth="1"/>
    <col min="12278" max="12278" width="9.140625" style="1" customWidth="1"/>
    <col min="12279" max="12279" width="12.5703125" style="1" customWidth="1"/>
    <col min="12280" max="12532" width="9.140625" style="1"/>
    <col min="12533" max="12533" width="50.42578125" style="1" customWidth="1"/>
    <col min="12534" max="12534" width="9.140625" style="1" customWidth="1"/>
    <col min="12535" max="12535" width="12.5703125" style="1" customWidth="1"/>
    <col min="12536" max="12788" width="9.140625" style="1"/>
    <col min="12789" max="12789" width="50.42578125" style="1" customWidth="1"/>
    <col min="12790" max="12790" width="9.140625" style="1" customWidth="1"/>
    <col min="12791" max="12791" width="12.5703125" style="1" customWidth="1"/>
    <col min="12792" max="13044" width="9.140625" style="1"/>
    <col min="13045" max="13045" width="50.42578125" style="1" customWidth="1"/>
    <col min="13046" max="13046" width="9.140625" style="1" customWidth="1"/>
    <col min="13047" max="13047" width="12.5703125" style="1" customWidth="1"/>
    <col min="13048" max="13300" width="9.140625" style="1"/>
    <col min="13301" max="13301" width="50.42578125" style="1" customWidth="1"/>
    <col min="13302" max="13302" width="9.140625" style="1" customWidth="1"/>
    <col min="13303" max="13303" width="12.5703125" style="1" customWidth="1"/>
    <col min="13304" max="13556" width="9.140625" style="1"/>
    <col min="13557" max="13557" width="50.42578125" style="1" customWidth="1"/>
    <col min="13558" max="13558" width="9.140625" style="1" customWidth="1"/>
    <col min="13559" max="13559" width="12.5703125" style="1" customWidth="1"/>
    <col min="13560" max="13812" width="9.140625" style="1"/>
    <col min="13813" max="13813" width="50.42578125" style="1" customWidth="1"/>
    <col min="13814" max="13814" width="9.140625" style="1" customWidth="1"/>
    <col min="13815" max="13815" width="12.5703125" style="1" customWidth="1"/>
    <col min="13816" max="14068" width="9.140625" style="1"/>
    <col min="14069" max="14069" width="50.42578125" style="1" customWidth="1"/>
    <col min="14070" max="14070" width="9.140625" style="1" customWidth="1"/>
    <col min="14071" max="14071" width="12.5703125" style="1" customWidth="1"/>
    <col min="14072" max="14324" width="9.140625" style="1"/>
    <col min="14325" max="14325" width="50.42578125" style="1" customWidth="1"/>
    <col min="14326" max="14326" width="9.140625" style="1" customWidth="1"/>
    <col min="14327" max="14327" width="12.5703125" style="1" customWidth="1"/>
    <col min="14328" max="14580" width="9.140625" style="1"/>
    <col min="14581" max="14581" width="50.42578125" style="1" customWidth="1"/>
    <col min="14582" max="14582" width="9.140625" style="1" customWidth="1"/>
    <col min="14583" max="14583" width="12.5703125" style="1" customWidth="1"/>
    <col min="14584" max="14836" width="9.140625" style="1"/>
    <col min="14837" max="14837" width="50.42578125" style="1" customWidth="1"/>
    <col min="14838" max="14838" width="9.140625" style="1" customWidth="1"/>
    <col min="14839" max="14839" width="12.5703125" style="1" customWidth="1"/>
    <col min="14840" max="15092" width="9.140625" style="1"/>
    <col min="15093" max="15093" width="50.42578125" style="1" customWidth="1"/>
    <col min="15094" max="15094" width="9.140625" style="1" customWidth="1"/>
    <col min="15095" max="15095" width="12.5703125" style="1" customWidth="1"/>
    <col min="15096" max="15348" width="9.140625" style="1"/>
    <col min="15349" max="15349" width="50.42578125" style="1" customWidth="1"/>
    <col min="15350" max="15350" width="9.140625" style="1" customWidth="1"/>
    <col min="15351" max="15351" width="12.5703125" style="1" customWidth="1"/>
    <col min="15352" max="15604" width="9.140625" style="1"/>
    <col min="15605" max="15605" width="50.42578125" style="1" customWidth="1"/>
    <col min="15606" max="15606" width="9.140625" style="1" customWidth="1"/>
    <col min="15607" max="15607" width="12.5703125" style="1" customWidth="1"/>
    <col min="15608" max="15860" width="9.140625" style="1"/>
    <col min="15861" max="15861" width="50.42578125" style="1" customWidth="1"/>
    <col min="15862" max="15862" width="9.140625" style="1" customWidth="1"/>
    <col min="15863" max="15863" width="12.5703125" style="1" customWidth="1"/>
    <col min="15864" max="16116" width="9.140625" style="1"/>
    <col min="16117" max="16117" width="50.42578125" style="1" customWidth="1"/>
    <col min="16118" max="16118" width="9.140625" style="1" customWidth="1"/>
    <col min="16119" max="16119" width="12.5703125" style="1" customWidth="1"/>
    <col min="16120" max="16379" width="9.140625" style="1"/>
    <col min="16380" max="16384" width="9.140625" style="1" customWidth="1"/>
  </cols>
  <sheetData>
    <row r="1" spans="1:7" x14ac:dyDescent="0.25">
      <c r="C1" s="2" t="s">
        <v>301</v>
      </c>
    </row>
    <row r="2" spans="1:7" ht="19.5" thickBot="1" x14ac:dyDescent="0.35">
      <c r="A2" s="909" t="s">
        <v>123</v>
      </c>
      <c r="B2" s="909"/>
    </row>
    <row r="3" spans="1:7" ht="30.75" thickBot="1" x14ac:dyDescent="0.3">
      <c r="A3" s="391" t="s">
        <v>34</v>
      </c>
      <c r="B3" s="392" t="s">
        <v>7</v>
      </c>
      <c r="C3" s="36" t="s">
        <v>719</v>
      </c>
      <c r="F3" s="739"/>
      <c r="G3" s="211"/>
    </row>
    <row r="4" spans="1:7" x14ac:dyDescent="0.25">
      <c r="A4" s="385" t="s">
        <v>663</v>
      </c>
      <c r="B4" s="47">
        <v>3200</v>
      </c>
      <c r="C4" s="381">
        <v>20000</v>
      </c>
    </row>
    <row r="5" spans="1:7" x14ac:dyDescent="0.25">
      <c r="A5" s="385" t="s">
        <v>574</v>
      </c>
      <c r="B5" s="47">
        <v>2200</v>
      </c>
      <c r="C5" s="381">
        <v>5458</v>
      </c>
      <c r="D5" s="154"/>
    </row>
    <row r="6" spans="1:7" x14ac:dyDescent="0.25">
      <c r="A6" s="731" t="s">
        <v>818</v>
      </c>
      <c r="B6" s="47">
        <v>2200</v>
      </c>
      <c r="C6" s="381">
        <f>3000-1163</f>
        <v>1837</v>
      </c>
    </row>
    <row r="7" spans="1:7" x14ac:dyDescent="0.25">
      <c r="A7" s="731" t="s">
        <v>818</v>
      </c>
      <c r="B7" s="47">
        <v>2300</v>
      </c>
      <c r="C7" s="381">
        <v>1163</v>
      </c>
    </row>
    <row r="8" spans="1:7" ht="45" x14ac:dyDescent="0.25">
      <c r="A8" s="711" t="s">
        <v>819</v>
      </c>
      <c r="B8" s="47">
        <v>2200</v>
      </c>
      <c r="C8" s="381">
        <v>2500</v>
      </c>
    </row>
    <row r="9" spans="1:7" ht="30" x14ac:dyDescent="0.25">
      <c r="A9" s="711" t="s">
        <v>820</v>
      </c>
      <c r="B9" s="47">
        <v>2200</v>
      </c>
      <c r="C9" s="381">
        <v>10000</v>
      </c>
    </row>
    <row r="10" spans="1:7" ht="30" x14ac:dyDescent="0.25">
      <c r="A10" s="711" t="s">
        <v>821</v>
      </c>
      <c r="B10" s="47">
        <v>2200</v>
      </c>
      <c r="C10" s="381">
        <f>1000-25</f>
        <v>975</v>
      </c>
    </row>
    <row r="11" spans="1:7" ht="45" x14ac:dyDescent="0.25">
      <c r="A11" s="711" t="s">
        <v>822</v>
      </c>
      <c r="B11" s="47">
        <v>2200</v>
      </c>
      <c r="C11" s="381">
        <f>50000-50000</f>
        <v>0</v>
      </c>
    </row>
    <row r="12" spans="1:7" ht="45" x14ac:dyDescent="0.25">
      <c r="A12" s="711" t="s">
        <v>822</v>
      </c>
      <c r="B12" s="56">
        <v>3200</v>
      </c>
      <c r="C12" s="382">
        <v>50000</v>
      </c>
    </row>
    <row r="13" spans="1:7" x14ac:dyDescent="0.25">
      <c r="A13" s="848" t="s">
        <v>913</v>
      </c>
      <c r="B13" s="56">
        <v>2500</v>
      </c>
      <c r="C13" s="382">
        <v>25</v>
      </c>
    </row>
    <row r="14" spans="1:7" ht="15.75" thickBot="1" x14ac:dyDescent="0.3">
      <c r="A14" s="732" t="s">
        <v>823</v>
      </c>
      <c r="B14" s="56">
        <v>2200</v>
      </c>
      <c r="C14" s="382">
        <f>8000+2374</f>
        <v>10374</v>
      </c>
    </row>
    <row r="15" spans="1:7" ht="15.75" thickBot="1" x14ac:dyDescent="0.3">
      <c r="A15" s="393" t="s">
        <v>28</v>
      </c>
      <c r="B15" s="394"/>
      <c r="C15" s="384">
        <f>SUM(C4:C14)</f>
        <v>102332</v>
      </c>
    </row>
    <row r="16" spans="1:7" x14ac:dyDescent="0.25">
      <c r="A16" s="9"/>
      <c r="B16" s="9"/>
      <c r="C16" s="395"/>
    </row>
    <row r="17" spans="1:3" x14ac:dyDescent="0.25">
      <c r="A17" s="5" t="s">
        <v>941</v>
      </c>
      <c r="B17" s="5"/>
    </row>
    <row r="18" spans="1:3" x14ac:dyDescent="0.25">
      <c r="A18" s="9"/>
      <c r="B18" s="9"/>
      <c r="C18" s="9"/>
    </row>
  </sheetData>
  <mergeCells count="1">
    <mergeCell ref="A2:B2"/>
  </mergeCells>
  <phoneticPr fontId="0" type="noConversion"/>
  <pageMargins left="0.75" right="0.75" top="1" bottom="1" header="0.5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26</vt:i4>
      </vt:variant>
    </vt:vector>
  </HeadingPairs>
  <TitlesOfParts>
    <vt:vector size="26" baseType="lpstr">
      <vt:lpstr>PII</vt:lpstr>
      <vt:lpstr>Skolas</vt:lpstr>
      <vt:lpstr>Mākslas un mūzikas</vt:lpstr>
      <vt:lpstr>Sp.centri un inter.</vt:lpstr>
      <vt:lpstr>Pārējās izglītības funkc.</vt:lpstr>
      <vt:lpstr>Soc. aizsardzība</vt:lpstr>
      <vt:lpstr>Izpildvara</vt:lpstr>
      <vt:lpstr>Polic. </vt:lpstr>
      <vt:lpstr>Uzņēmējdarb. attīst.</vt:lpstr>
      <vt:lpstr>Būvvalde</vt:lpstr>
      <vt:lpstr>Ceļu uzturēšanai un rem.</vt:lpstr>
      <vt:lpstr>Tūrisms</vt:lpstr>
      <vt:lpstr>Atkrit. apsaimn.</vt:lpstr>
      <vt:lpstr>Notekūd. apsaimn.,ainavas aizsa</vt:lpstr>
      <vt:lpstr>Ūdensapgāde</vt:lpstr>
      <vt:lpstr>Tautsaimn. </vt:lpstr>
      <vt:lpstr>Tauts. Pagastu pārv.</vt:lpstr>
      <vt:lpstr>Veselība</vt:lpstr>
      <vt:lpstr>Kult.iest.</vt:lpstr>
      <vt:lpstr>Kult.aktivit. </vt:lpstr>
      <vt:lpstr>Sporta kom. </vt:lpstr>
      <vt:lpstr>Pašvald.projekti</vt:lpstr>
      <vt:lpstr>Izgl. projekti</vt:lpstr>
      <vt:lpstr>ES projekti </vt:lpstr>
      <vt:lpstr>Finans. kapitālsabiedr.</vt:lpstr>
      <vt:lpstr>Fin. PA Ogres komunik.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Installer</dc:creator>
  <cp:lastModifiedBy>Santa Hermane</cp:lastModifiedBy>
  <cp:lastPrinted>2026-07-31T08:19:50Z</cp:lastPrinted>
  <dcterms:created xsi:type="dcterms:W3CDTF">2007-01-07T18:55:45Z</dcterms:created>
  <dcterms:modified xsi:type="dcterms:W3CDTF">2026-07-31T08:20:09Z</dcterms:modified>
</cp:coreProperties>
</file>