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795" windowWidth="19200" windowHeight="7155" activeTab="0"/>
  </bookViews>
  <sheets>
    <sheet name="Pamatbudžets   " sheetId="1" r:id="rId1"/>
    <sheet name="Ieņēmumi" sheetId="2" r:id="rId2"/>
    <sheet name="Izdevumi" sheetId="3" r:id="rId3"/>
    <sheet name="Mērķdot. " sheetId="4" r:id="rId4"/>
    <sheet name="Fin. pagastu pārv." sheetId="5" r:id="rId5"/>
    <sheet name="Sheet1" sheetId="6" r:id="rId6"/>
    <sheet name="Sheet2" sheetId="7" r:id="rId7"/>
    <sheet name="Sheet3" sheetId="8" r:id="rId8"/>
  </sheets>
  <definedNames>
    <definedName name="_xlnm.Print_Titles" localSheetId="0">'Pamatbudžets   '!$6:$6</definedName>
  </definedNames>
  <calcPr fullCalcOnLoad="1"/>
</workbook>
</file>

<file path=xl/sharedStrings.xml><?xml version="1.0" encoding="utf-8"?>
<sst xmlns="http://schemas.openxmlformats.org/spreadsheetml/2006/main" count="1032" uniqueCount="717">
  <si>
    <t>Papildus finansējums konkrētiem mērķiem</t>
  </si>
  <si>
    <t>Pamatlīdzekļu izveidošana</t>
  </si>
  <si>
    <t>PA "Ogres kultūras centrs" finansējums</t>
  </si>
  <si>
    <t>Iestāde</t>
  </si>
  <si>
    <t>Pamatojums</t>
  </si>
  <si>
    <t>Pieprasīts</t>
  </si>
  <si>
    <t>Piezīmes</t>
  </si>
  <si>
    <t>Klasifikācijas kods</t>
  </si>
  <si>
    <t>Sociālais nodoklis</t>
  </si>
  <si>
    <t>Izglītība</t>
  </si>
  <si>
    <t>04.000</t>
  </si>
  <si>
    <t>PII</t>
  </si>
  <si>
    <t>05.200</t>
  </si>
  <si>
    <t>06.000</t>
  </si>
  <si>
    <t>07.000</t>
  </si>
  <si>
    <t>Kultūra</t>
  </si>
  <si>
    <t>08.000</t>
  </si>
  <si>
    <t>10.000</t>
  </si>
  <si>
    <t>Sporta centrs</t>
  </si>
  <si>
    <t>1100</t>
  </si>
  <si>
    <t>1200</t>
  </si>
  <si>
    <t>Kopā uz korekcijām:</t>
  </si>
  <si>
    <t>Iekšējas korekcijas</t>
  </si>
  <si>
    <t xml:space="preserve">   Ieņēmuma pozīcijas nosaukums             </t>
  </si>
  <si>
    <t>Kods</t>
  </si>
  <si>
    <t>KOPĀ :</t>
  </si>
  <si>
    <t>Pielikums Nr.1</t>
  </si>
  <si>
    <t>Ogres novada domes</t>
  </si>
  <si>
    <t>4.1.1.0.</t>
  </si>
  <si>
    <t>4.1.2.0.</t>
  </si>
  <si>
    <t>5.4.1.0.</t>
  </si>
  <si>
    <t>Pašvaldību nodevas</t>
  </si>
  <si>
    <t>9.5.0.0.</t>
  </si>
  <si>
    <t>05.000</t>
  </si>
  <si>
    <t>Pabalsts maznodrošinātām ģimenēm</t>
  </si>
  <si>
    <t>Pašvaldības policija</t>
  </si>
  <si>
    <t>Kopā izdevumi:</t>
  </si>
  <si>
    <t>Kredīta atmaksa</t>
  </si>
  <si>
    <t>S.Velberga</t>
  </si>
  <si>
    <t>Paskaidrojums pie budžeta grozījumiem</t>
  </si>
  <si>
    <t>Nodokļu ieņēmumi</t>
  </si>
  <si>
    <t>1.1.1.0.</t>
  </si>
  <si>
    <t>1.1.1.1.</t>
  </si>
  <si>
    <t>1.1.1.2.</t>
  </si>
  <si>
    <t>4.1.0.0.</t>
  </si>
  <si>
    <t>Nekustamā īpašuma nodoklis</t>
  </si>
  <si>
    <t>Nekustamā īpašuma nodoklis par zemi</t>
  </si>
  <si>
    <t xml:space="preserve">Nekustamā īpašuma nodoklis par ēkām </t>
  </si>
  <si>
    <t>Azartspēļu nodoklis</t>
  </si>
  <si>
    <t>Nenodokļu ieņēmumi</t>
  </si>
  <si>
    <t>9.4.0.0.</t>
  </si>
  <si>
    <t>Valsts nodevas, kuras ieskaita pašvaldību budžetā</t>
  </si>
  <si>
    <t>Pārējie nenodokļu ieņēmumi</t>
  </si>
  <si>
    <t>18.0.0.0.</t>
  </si>
  <si>
    <t>Valsts budžeta transferti</t>
  </si>
  <si>
    <t>19.0.0.0.</t>
  </si>
  <si>
    <t>Pašvaldību budžetu transferti</t>
  </si>
  <si>
    <t>19.2.0.0.</t>
  </si>
  <si>
    <t>19.3.0.0.</t>
  </si>
  <si>
    <t>21.0.0.0.</t>
  </si>
  <si>
    <t>Budžeta iestāžu ieņēmumi</t>
  </si>
  <si>
    <t>21.3.0.0.</t>
  </si>
  <si>
    <t>21.3.8.0.</t>
  </si>
  <si>
    <t>Ieņēmumi par nomu un īri</t>
  </si>
  <si>
    <t>21.3.9.0.</t>
  </si>
  <si>
    <t>Ieņēmumi par pārējiem budžeta iestāžu maksas pakalpojumiem</t>
  </si>
  <si>
    <t>KOPĀ IEŅĒMUMI</t>
  </si>
  <si>
    <t>Valsts kases kredīts</t>
  </si>
  <si>
    <t>Kopā ar kredītresursiem:</t>
  </si>
  <si>
    <t>Kopā ar budžeta atlikumu</t>
  </si>
  <si>
    <t>Pielikums Nr.2</t>
  </si>
  <si>
    <t>01.000</t>
  </si>
  <si>
    <t>Vispārējie valdības dienesti</t>
  </si>
  <si>
    <t>01.720</t>
  </si>
  <si>
    <t>Pašvaldību budžetu parāda darījumi</t>
  </si>
  <si>
    <t>01.721</t>
  </si>
  <si>
    <t xml:space="preserve">       Pašvaldību budžetu valsts iekšējā parāda darījumi</t>
  </si>
  <si>
    <t>01.830</t>
  </si>
  <si>
    <t>Vispārēja rakstura transferti no pašvaldību budžeta pašvaldību budžetam</t>
  </si>
  <si>
    <t xml:space="preserve">       Norēķini ar citu pašvaldību izglītības iestādēm</t>
  </si>
  <si>
    <t>01.890</t>
  </si>
  <si>
    <t>03.000</t>
  </si>
  <si>
    <t>Sabiedriskā kārtība un drošība</t>
  </si>
  <si>
    <t>03.600</t>
  </si>
  <si>
    <t>Ekonomiskā darbība</t>
  </si>
  <si>
    <t>04.111</t>
  </si>
  <si>
    <t>Vispārējas ekonomiskas darbības vadība</t>
  </si>
  <si>
    <t>04.210</t>
  </si>
  <si>
    <t>04.220</t>
  </si>
  <si>
    <t>Mežsaimniecība un medniecība</t>
  </si>
  <si>
    <t>04.510</t>
  </si>
  <si>
    <t>Autotransports</t>
  </si>
  <si>
    <t xml:space="preserve">       Ceļu būvniecībai un remontiem</t>
  </si>
  <si>
    <t>04.600</t>
  </si>
  <si>
    <t>Sakari</t>
  </si>
  <si>
    <t>Vides aizsardzība</t>
  </si>
  <si>
    <t>05.100</t>
  </si>
  <si>
    <t>Atkritumu apsaimniekošana</t>
  </si>
  <si>
    <t>Notekūdeņu apsaimniekošana</t>
  </si>
  <si>
    <t xml:space="preserve">       Notekūdeņu (savākšana un attīrīšana)</t>
  </si>
  <si>
    <t>Pašvaldības teritoriju un mājokļu apsaimniekošana</t>
  </si>
  <si>
    <t>06.300</t>
  </si>
  <si>
    <t>Ūdensapgāde</t>
  </si>
  <si>
    <t>06.400</t>
  </si>
  <si>
    <t>Ielu apgaismošana</t>
  </si>
  <si>
    <t>06.600</t>
  </si>
  <si>
    <t>Pārējā citur nekvalificētā pašvaldību teritoriju un mājokļu apsaimniekošanas darbība</t>
  </si>
  <si>
    <t>Veselība</t>
  </si>
  <si>
    <t>07.210</t>
  </si>
  <si>
    <t>Ambulatorās ārstniecības iestādes</t>
  </si>
  <si>
    <t>Atpūta, kultūra un reliģija</t>
  </si>
  <si>
    <t>08.100</t>
  </si>
  <si>
    <t>Atpūtas un sporta  pasākumi</t>
  </si>
  <si>
    <t xml:space="preserve">       Sporta pasākumu rīkošanai</t>
  </si>
  <si>
    <t xml:space="preserve">       Komandas vai individuālu sacensību dalībnieku atbalstam</t>
  </si>
  <si>
    <t>08.200</t>
  </si>
  <si>
    <t>08.210</t>
  </si>
  <si>
    <t>08.220</t>
  </si>
  <si>
    <t>08.230</t>
  </si>
  <si>
    <t>08.290</t>
  </si>
  <si>
    <t>Televīzija</t>
  </si>
  <si>
    <t>08.330</t>
  </si>
  <si>
    <t>Izdevniecība ( Novada informatīvie izdevumi )</t>
  </si>
  <si>
    <t>09.000</t>
  </si>
  <si>
    <t>09.100</t>
  </si>
  <si>
    <t>PII  "Sprīdītis"</t>
  </si>
  <si>
    <t>PII  "Cīrulītis"</t>
  </si>
  <si>
    <t>PII  "Dzīpariņš"</t>
  </si>
  <si>
    <t>PII  "Zelta sietiņš"</t>
  </si>
  <si>
    <t>PII  "Saulīte"</t>
  </si>
  <si>
    <t>PII " Ābelīte"</t>
  </si>
  <si>
    <t>09.210</t>
  </si>
  <si>
    <t>09.211</t>
  </si>
  <si>
    <t>Ogres 1. vidusskola</t>
  </si>
  <si>
    <t>Jaunogres vidusskola</t>
  </si>
  <si>
    <t>Ogresgala pamatskola</t>
  </si>
  <si>
    <t>09.510</t>
  </si>
  <si>
    <t>Interešu un profesionālās ievirzes izglītība</t>
  </si>
  <si>
    <t>Mūzikas skola</t>
  </si>
  <si>
    <t>Mākslas skola</t>
  </si>
  <si>
    <t>Bērnu un jauniešu centrs</t>
  </si>
  <si>
    <t>09.820</t>
  </si>
  <si>
    <t>Sociālā aizsardzība</t>
  </si>
  <si>
    <t>10.600</t>
  </si>
  <si>
    <t>Mājokļa atbalsts</t>
  </si>
  <si>
    <t>10.700</t>
  </si>
  <si>
    <t>Pārējais citur neklasificēts atbalsts sociāli atstumtām personām</t>
  </si>
  <si>
    <t xml:space="preserve">Sociālais dienests </t>
  </si>
  <si>
    <t>Vietējie valdības dienesti</t>
  </si>
  <si>
    <t>Vispārējā izglītība</t>
  </si>
  <si>
    <t>Pašvaldības teritoriju un mājokļu apsaimniek.</t>
  </si>
  <si>
    <t>Jaunogres v-sk.</t>
  </si>
  <si>
    <t>Ogresgala pamatsk.</t>
  </si>
  <si>
    <t xml:space="preserve">  Kopā:</t>
  </si>
  <si>
    <t>Apstiprinātās mērķdot.</t>
  </si>
  <si>
    <t>Korekcijas</t>
  </si>
  <si>
    <t>Mērķdot.ped.algām</t>
  </si>
  <si>
    <t>Basketbola skola</t>
  </si>
  <si>
    <t>Ogres 1.vidussk.</t>
  </si>
  <si>
    <t>Ģimnāzija</t>
  </si>
  <si>
    <t>Nemateriālie ieguldījumi</t>
  </si>
  <si>
    <t>13.0.0.0.</t>
  </si>
  <si>
    <t>Mērtķdotācijas pedagogu algām</t>
  </si>
  <si>
    <t xml:space="preserve">       Lietus ūdens kanalizācija </t>
  </si>
  <si>
    <t xml:space="preserve">    Muzeji un izstādes</t>
  </si>
  <si>
    <t xml:space="preserve">          Gaidu un skautu muzejs</t>
  </si>
  <si>
    <t xml:space="preserve">    Finansējums PA "Ogres kultūras centrs"</t>
  </si>
  <si>
    <t xml:space="preserve">    Pilsētas dekorēšana svētkiem</t>
  </si>
  <si>
    <t xml:space="preserve">    Pensionēto izglītības darbinieku pasāk.</t>
  </si>
  <si>
    <t>PII " Strautiņš"</t>
  </si>
  <si>
    <t xml:space="preserve">Pozīcijas nosaukums             </t>
  </si>
  <si>
    <t>Ieņēmumi no iedzīvotāju ienākuma nodokļa</t>
  </si>
  <si>
    <t>Saņemts no VK sadales konta  iepriekšējā gada nesadalītais iedzīvotāju ienākuma nodokļa atlikums</t>
  </si>
  <si>
    <t>Saņemts no VK sadales konta  pārskata gadā ieskaitītais iedzīvotāju ienākuma nodoklis</t>
  </si>
  <si>
    <t>4.0.0.0.</t>
  </si>
  <si>
    <t>Īpašuma nodokļi</t>
  </si>
  <si>
    <t>8.6.0.0.</t>
  </si>
  <si>
    <t>Procentu ieņēmumi par depozītiem, kontu atlikumiem un vērtpapīriem</t>
  </si>
  <si>
    <t>10.1.0.0.</t>
  </si>
  <si>
    <t>Naudas sodi</t>
  </si>
  <si>
    <t>12.3.0.0.</t>
  </si>
  <si>
    <t>19.1.0.0.</t>
  </si>
  <si>
    <t>21.3.5.0.</t>
  </si>
  <si>
    <t>Maksa par izglītības pakalpojumiem</t>
  </si>
  <si>
    <t>21.3.7.0.</t>
  </si>
  <si>
    <t>Ieņēmumi par  dokumentu izsniegšanu un kancelejas pakalpojumiem</t>
  </si>
  <si>
    <t>Būvvalde</t>
  </si>
  <si>
    <t>Mājokļu attīstība pašvaldībā</t>
  </si>
  <si>
    <t xml:space="preserve">      Pārējie izdevumi</t>
  </si>
  <si>
    <t xml:space="preserve">       Ģimenes ārstu prakse </t>
  </si>
  <si>
    <t xml:space="preserve">    Bibliotēkas </t>
  </si>
  <si>
    <t>PII "Riekstiņš"</t>
  </si>
  <si>
    <t>PII "Taurenītis"</t>
  </si>
  <si>
    <t xml:space="preserve">Ķeipenes pamatskola </t>
  </si>
  <si>
    <t>Madlienas vidusskola</t>
  </si>
  <si>
    <t>09.219</t>
  </si>
  <si>
    <t>Suntažu vidusskola</t>
  </si>
  <si>
    <t>Suntažu sanatorijas internātpamatskola</t>
  </si>
  <si>
    <t>Madlienas mūzikas un mākslas skola</t>
  </si>
  <si>
    <t>09.600</t>
  </si>
  <si>
    <t>Izglītības papildu pakalpojumi</t>
  </si>
  <si>
    <t>10.500</t>
  </si>
  <si>
    <t>Atbalsts bezdarba gadījumā</t>
  </si>
  <si>
    <t xml:space="preserve">Sabiedriskās organizācijas </t>
  </si>
  <si>
    <t>Bērnu nams "Laubere"</t>
  </si>
  <si>
    <t>Pansionāts "Madliena"</t>
  </si>
  <si>
    <t>F40 32 00 20</t>
  </si>
  <si>
    <t>Preces un pakalpojumi</t>
  </si>
  <si>
    <t>Komandējumi un dienesta braucieni</t>
  </si>
  <si>
    <t>Pakalpojumi</t>
  </si>
  <si>
    <t>Krājumi,materiāli,energoresursi,prece,biroja preces un inventārs, ko neuzskaita  5000. kodā</t>
  </si>
  <si>
    <t>Izdevumi periodikas iegādei</t>
  </si>
  <si>
    <t>Budžeta iestāžu nodokļu maksājumi</t>
  </si>
  <si>
    <t xml:space="preserve">Pārējie procentu maksājumi </t>
  </si>
  <si>
    <t>Pamatlīdzekļi</t>
  </si>
  <si>
    <t xml:space="preserve">Sociālie pabalsti naudā </t>
  </si>
  <si>
    <t>Sociālie pabalsti natūrā</t>
  </si>
  <si>
    <t xml:space="preserve"> IZDEVUMI KOPĀ</t>
  </si>
  <si>
    <t>2100</t>
  </si>
  <si>
    <t>2200</t>
  </si>
  <si>
    <t>5200</t>
  </si>
  <si>
    <t>2300</t>
  </si>
  <si>
    <t>21.1.0.0.</t>
  </si>
  <si>
    <t xml:space="preserve">Budžeta iestādes ieņēmumi no ārvalstu finanšu palīdzības </t>
  </si>
  <si>
    <t>F56010000</t>
  </si>
  <si>
    <t>Kapitālieguldījumu fondu akcijas</t>
  </si>
  <si>
    <t>PII "Sprīdītis"</t>
  </si>
  <si>
    <t>PII "Saulīte"</t>
  </si>
  <si>
    <t>Valsts kases kredīts   F40 32 00 10</t>
  </si>
  <si>
    <t>Atalgojums</t>
  </si>
  <si>
    <t xml:space="preserve">No vispārējiem ieņēmumiem </t>
  </si>
  <si>
    <t>LAD projekts</t>
  </si>
  <si>
    <t>Kopā:</t>
  </si>
  <si>
    <t>Krapes pagasts</t>
  </si>
  <si>
    <t>Ķeipenes pagasts</t>
  </si>
  <si>
    <t>Lauberes pagasts</t>
  </si>
  <si>
    <t>Madlienas pagasts</t>
  </si>
  <si>
    <t>Mazozolu pagasts</t>
  </si>
  <si>
    <t>Meņģeles pagasts</t>
  </si>
  <si>
    <t>Suntažu pagasts</t>
  </si>
  <si>
    <t>Taurupes pagasts</t>
  </si>
  <si>
    <t>Kopā novadā:</t>
  </si>
  <si>
    <t>Izdevumu mērķa atšifrējums no vispārējiem ieņēmumiem</t>
  </si>
  <si>
    <t>10.400</t>
  </si>
  <si>
    <t>Atbalsts ģimenēm ar bērniem (Bāriņtiesas)</t>
  </si>
  <si>
    <t>Ogres Valsts ģimnāzija</t>
  </si>
  <si>
    <t>Finansējums grāmatām</t>
  </si>
  <si>
    <t>18.6.0.0.</t>
  </si>
  <si>
    <t>Pašvaldību budžetā saņemtie uzturēšanas izdevumu transferti no valsts budžeta</t>
  </si>
  <si>
    <t>Ogres sākumskola</t>
  </si>
  <si>
    <t>Kapitālais remonts un rekonstrukcija</t>
  </si>
  <si>
    <t>4.1.3.0.</t>
  </si>
  <si>
    <t>Nekustamā īpašuma nodoklis par mājokļiem</t>
  </si>
  <si>
    <t>Pašvaldību saņemtie transferti no valsts budžeta</t>
  </si>
  <si>
    <t>Pašvaldības budžeta iekšējie transferti starp vienas pašvaldības budžeta veidiem</t>
  </si>
  <si>
    <t>Pašvaldību saņemtie transferti no citām pašvaldībām</t>
  </si>
  <si>
    <t>Ieņēmumi no budžeta iestāžu sniegtajiem maksas pakalpojumiem un citi pašu ieņēmumi</t>
  </si>
  <si>
    <t>01.100</t>
  </si>
  <si>
    <t xml:space="preserve">Izpildvaras un likumdošanas varas  institūcijas </t>
  </si>
  <si>
    <t>01.820</t>
  </si>
  <si>
    <t>Vispārēja rakstura transferti no pašvaldību budžeta valsts budžetam</t>
  </si>
  <si>
    <t xml:space="preserve">Izdevumi neparedzētiem gadījumiem </t>
  </si>
  <si>
    <t>03.110</t>
  </si>
  <si>
    <t>Pārējie sabiedriskās kārtības un drošības pakalpojumi (Video novērošanai Ogrē)</t>
  </si>
  <si>
    <t>04.11101</t>
  </si>
  <si>
    <t>Uzņēmējdarbības  attīstības veicināšanai</t>
  </si>
  <si>
    <t xml:space="preserve">Lauksaimniecība </t>
  </si>
  <si>
    <t>04.51001</t>
  </si>
  <si>
    <t>04.51004</t>
  </si>
  <si>
    <t>Pārējais autotransports</t>
  </si>
  <si>
    <t>04.6001</t>
  </si>
  <si>
    <t>05.1001</t>
  </si>
  <si>
    <t>05.2001</t>
  </si>
  <si>
    <t>05.2002</t>
  </si>
  <si>
    <t>05.300</t>
  </si>
  <si>
    <t>Vides piesārņojuma novēršana un samazināšana</t>
  </si>
  <si>
    <t>05.400</t>
  </si>
  <si>
    <t>Bioloģiskās daudzveidības un ainavas aizsardzība</t>
  </si>
  <si>
    <t>Teritoriju attīstība ( projektēšanai )</t>
  </si>
  <si>
    <t>06.3001</t>
  </si>
  <si>
    <t>06.60001</t>
  </si>
  <si>
    <t>06.60002</t>
  </si>
  <si>
    <t>06.60003</t>
  </si>
  <si>
    <t>06.60006</t>
  </si>
  <si>
    <t>06.60007</t>
  </si>
  <si>
    <t>06.60008</t>
  </si>
  <si>
    <t>06.60009</t>
  </si>
  <si>
    <t>06.60010</t>
  </si>
  <si>
    <t xml:space="preserve">      Saimniecības nodaļa</t>
  </si>
  <si>
    <t>08.1001</t>
  </si>
  <si>
    <t>08.1002</t>
  </si>
  <si>
    <t>08.2201</t>
  </si>
  <si>
    <t>08.2202</t>
  </si>
  <si>
    <t>Pārējā citur neklasificētā kultūra</t>
  </si>
  <si>
    <t>08.29001</t>
  </si>
  <si>
    <t>08.29002</t>
  </si>
  <si>
    <t>08.29003</t>
  </si>
  <si>
    <t>08.310</t>
  </si>
  <si>
    <t xml:space="preserve">Pirmsskolas izglītība </t>
  </si>
  <si>
    <t>09.10001</t>
  </si>
  <si>
    <t>09.10002</t>
  </si>
  <si>
    <t>09.10003</t>
  </si>
  <si>
    <t>09.10004</t>
  </si>
  <si>
    <t>09.10005</t>
  </si>
  <si>
    <t>09.10006</t>
  </si>
  <si>
    <t>09.10007</t>
  </si>
  <si>
    <t>09.10008</t>
  </si>
  <si>
    <t>09.10009</t>
  </si>
  <si>
    <t>09.10010</t>
  </si>
  <si>
    <t>Sākumskolas (ISCED-97 1. līmenis)</t>
  </si>
  <si>
    <t>Vispārējās izglītības mācību iestāžu izdevumi (ISCED-97 1.- 3. līmenis)</t>
  </si>
  <si>
    <t>09.21901</t>
  </si>
  <si>
    <t>09.21902</t>
  </si>
  <si>
    <t>Ogres ģimnāzija</t>
  </si>
  <si>
    <t>09.21903</t>
  </si>
  <si>
    <t>09.21904</t>
  </si>
  <si>
    <t>09.21905</t>
  </si>
  <si>
    <t>09.21906</t>
  </si>
  <si>
    <t>09.21907</t>
  </si>
  <si>
    <t>09.21908</t>
  </si>
  <si>
    <t>09.21910</t>
  </si>
  <si>
    <t>09.5101</t>
  </si>
  <si>
    <t>09.5102</t>
  </si>
  <si>
    <t>09.5103</t>
  </si>
  <si>
    <t>09.5104</t>
  </si>
  <si>
    <t>09.5105</t>
  </si>
  <si>
    <t>09.5106</t>
  </si>
  <si>
    <t>Pārējā citur neklasificētā izglītība (izglītības projektu realizācija)</t>
  </si>
  <si>
    <t>09.82007</t>
  </si>
  <si>
    <t>09.82008</t>
  </si>
  <si>
    <t>10.70001</t>
  </si>
  <si>
    <t>10.70002</t>
  </si>
  <si>
    <t>10.70004</t>
  </si>
  <si>
    <t>10.70005</t>
  </si>
  <si>
    <t>10.70010</t>
  </si>
  <si>
    <t>01.830    7230</t>
  </si>
  <si>
    <t>Pašvaldību  uzturēšanas izdevumu transferti padotības iestādēm</t>
  </si>
  <si>
    <t>Darba devēja valsts sociālās apdrošināšanas obligātās iemaksas, sociālā rakstura pabalsti un kompensācijas</t>
  </si>
  <si>
    <t>Pakalpojumi, kurus budžeta iestādes apmaksā noteikto funkciju ietvaros, kas nav iestādes administratīvie izdevumi</t>
  </si>
  <si>
    <t>Subsīdijas un dotācijas komersantiem, biedrībām un nodibinājumiem</t>
  </si>
  <si>
    <t>Pārējie maksājumi iedzīvotājiem natūrā un kompensācijas</t>
  </si>
  <si>
    <t>Pašvaldību uzturēšanas izdevumu transferti</t>
  </si>
  <si>
    <t xml:space="preserve">Kopā </t>
  </si>
  <si>
    <t>06.100</t>
  </si>
  <si>
    <t xml:space="preserve">Mērķdot. Kolekt.vad. darb.sam.    </t>
  </si>
  <si>
    <t xml:space="preserve">Mērķdot. visp.izgl. ped. darb.sam.  </t>
  </si>
  <si>
    <t xml:space="preserve">Mērķdotācija interer. izgl.    </t>
  </si>
  <si>
    <t xml:space="preserve">Mērķdot. 5.-6.gad. apm. ped.darb.sam   </t>
  </si>
  <si>
    <t>Ogres sākumsk.</t>
  </si>
  <si>
    <t>03.200</t>
  </si>
  <si>
    <t>04.51006</t>
  </si>
  <si>
    <t xml:space="preserve">          Vēstures un mākslas muzejs</t>
  </si>
  <si>
    <t>08.29009</t>
  </si>
  <si>
    <t xml:space="preserve">Mērķis </t>
  </si>
  <si>
    <t>06.60011</t>
  </si>
  <si>
    <t>Ugunsdrošības, glābšanas un civilās drošības dienesti</t>
  </si>
  <si>
    <t>Pārējā citur neklasificētā izglītība</t>
  </si>
  <si>
    <t xml:space="preserve">  </t>
  </si>
  <si>
    <t>Krājumi, materiāli,energoresursi,preces</t>
  </si>
  <si>
    <t>3200</t>
  </si>
  <si>
    <t>Notekūdeņu savākšana un attīrīšana</t>
  </si>
  <si>
    <t>Dotācija biedrībām un organizācijām</t>
  </si>
  <si>
    <t>Ieņēmumi no pašvaldības īpašuma iznomāšanas, pārdošanas un nodokļu pamatp.kapitaliz.</t>
  </si>
  <si>
    <t>Publisko interneta pieejas punktu attīstība</t>
  </si>
  <si>
    <t xml:space="preserve">      Īpašumu uzmērīšanai un reģistrēšanai Zemesgrāmatā</t>
  </si>
  <si>
    <t>Taurupes pamatskola</t>
  </si>
  <si>
    <t>EUR</t>
  </si>
  <si>
    <t>Finansējums māc.līdz.</t>
  </si>
  <si>
    <t>08.10002</t>
  </si>
  <si>
    <t>PII "Dzīpariņš"</t>
  </si>
  <si>
    <t>Budžeta iestādes ieņēmumi no ārvalstu finanšu palīdzības</t>
  </si>
  <si>
    <t>Pašvaldību saņemtie transferti no valsts budžeta daļēji finansētām atvasinātām publiskām personām un no budžeta nefinansētām iestādēm</t>
  </si>
  <si>
    <t>17.2.0.0.</t>
  </si>
  <si>
    <r>
      <t xml:space="preserve">Kods 18.6.3.0. “ </t>
    </r>
    <r>
      <rPr>
        <i/>
        <sz val="14"/>
        <rFont val="Times New Roman"/>
        <family val="1"/>
      </rPr>
      <t xml:space="preserve">Pašvaldību no valsts budžeta iestādēm saņemtie transferti ES politiku instrumentu  un pārējās ārvalstu finanšu palīdzības līdzfinansētajiem projektiem </t>
    </r>
    <r>
      <rPr>
        <sz val="14"/>
        <rFont val="Times New Roman"/>
        <family val="1"/>
      </rPr>
      <t xml:space="preserve">” </t>
    </r>
  </si>
  <si>
    <t>Ceļu būvniecībai un remontiem</t>
  </si>
  <si>
    <t>PA "Ogres kultūras c."</t>
  </si>
  <si>
    <t>Izpildvara</t>
  </si>
  <si>
    <r>
      <t xml:space="preserve">Kods 18.6.2.0. “ </t>
    </r>
    <r>
      <rPr>
        <i/>
        <sz val="14"/>
        <rFont val="Times New Roman"/>
        <family val="1"/>
      </rPr>
      <t>Pašvaldību budžetā saņemtie valsts transferti noteiktam mērķim</t>
    </r>
    <r>
      <rPr>
        <sz val="14"/>
        <rFont val="Times New Roman"/>
        <family val="1"/>
      </rPr>
      <t xml:space="preserve">” </t>
    </r>
  </si>
  <si>
    <t>6200</t>
  </si>
  <si>
    <t>Sociālie pabalsti naudā</t>
  </si>
  <si>
    <t>21.3.0.0.0</t>
  </si>
  <si>
    <t>Mājokļu apsaimniekošana</t>
  </si>
  <si>
    <t>Siltumapgāde</t>
  </si>
  <si>
    <t>PA "Ogres kultūras centrs" izdevumi</t>
  </si>
  <si>
    <t>Finansējums māc.literat. 5-6 gad.</t>
  </si>
  <si>
    <t xml:space="preserve">       Norēķini ar citu pašvaldību sociālo pakalpojumu iestādēm</t>
  </si>
  <si>
    <t>06.60014</t>
  </si>
  <si>
    <t>08.29011</t>
  </si>
  <si>
    <t>Pielikumā PA "Ogres namsaimnieks" budž. korekc.</t>
  </si>
  <si>
    <t xml:space="preserve">Finansējums PA "Ogres namsaimnieks" </t>
  </si>
  <si>
    <t>PA Rosme</t>
  </si>
  <si>
    <t>Atkritumu apsaimniekošana un labiekārtošana</t>
  </si>
  <si>
    <t xml:space="preserve">05.1001      </t>
  </si>
  <si>
    <t>PA "Ogres namsaimnieks" finansējums</t>
  </si>
  <si>
    <t>Budžeta nodaļas vadītāja</t>
  </si>
  <si>
    <t>PA "Rosme"</t>
  </si>
  <si>
    <t>01.890   2200</t>
  </si>
  <si>
    <t>F20010000 AS</t>
  </si>
  <si>
    <t>F20010000 AB</t>
  </si>
  <si>
    <t>1.,2.,3.,4. klases skoln. Ēdināš.</t>
  </si>
  <si>
    <t>PA "Ogres namsaimnieks" izdevumi</t>
  </si>
  <si>
    <t xml:space="preserve">Pārējie 21.3.0.0.grupā neklasificētie budžeta iestāžu ieņēmumi </t>
  </si>
  <si>
    <t>21.4.0.0.0</t>
  </si>
  <si>
    <t>PA Ogres namsaimnieks atlikums uz gada beigām</t>
  </si>
  <si>
    <t>Suntažu internātsk.</t>
  </si>
  <si>
    <t>PA Rosme atlikums uz gada beigām</t>
  </si>
  <si>
    <t>09.82025</t>
  </si>
  <si>
    <t>21.4.9.0</t>
  </si>
  <si>
    <t>Pārējie iepriekš neklasificētie pašu ieņēmumi</t>
  </si>
  <si>
    <t>F40 32 00 10</t>
  </si>
  <si>
    <t>04.11114</t>
  </si>
  <si>
    <t>04.11115</t>
  </si>
  <si>
    <t>04.2101</t>
  </si>
  <si>
    <t>04.2103</t>
  </si>
  <si>
    <t>04.51007</t>
  </si>
  <si>
    <t xml:space="preserve">     Grants ceļu bez cietā seguma posmu pārbūve Ogres novadā</t>
  </si>
  <si>
    <t>05.1007</t>
  </si>
  <si>
    <t xml:space="preserve">      Koncesija atkritumu apsaimniekošana</t>
  </si>
  <si>
    <t>05.30010</t>
  </si>
  <si>
    <t>05.30011</t>
  </si>
  <si>
    <t>Ēkas Upes prospektā 16, Ogrē  siltināšana un rekonstrukcija, pielāgojot Ogres novada Sociālā dienesta un tā struktūrvienību vajadzībām</t>
  </si>
  <si>
    <t>06.1001</t>
  </si>
  <si>
    <t xml:space="preserve">      Represēto piemiņas vietas labiekārtošana</t>
  </si>
  <si>
    <t>08.1004</t>
  </si>
  <si>
    <t xml:space="preserve">       Struktūrvienība peldbaseins  "Neptūns"</t>
  </si>
  <si>
    <t>08.2203</t>
  </si>
  <si>
    <t xml:space="preserve">         Kultūrvēsturiskā peminekļa "Pie Zelta Liepas" rekonstrukcija</t>
  </si>
  <si>
    <t>Pārējā izglītības vadība (Izglītības, kultūras un sporta pārvalde)</t>
  </si>
  <si>
    <t>09.82026</t>
  </si>
  <si>
    <t>09.82028</t>
  </si>
  <si>
    <t xml:space="preserve">       Nordplus programma - Ogres Mūzikas skolas projekts "Innovative Bridge of Music"</t>
  </si>
  <si>
    <t>09.82030</t>
  </si>
  <si>
    <t xml:space="preserve">      8.1.2.SAM "Uzlabot vispārējās izglītības iestāžu mācību vidi Ogres novadā"</t>
  </si>
  <si>
    <t>F22010020</t>
  </si>
  <si>
    <t>Pieprasījuma noguldījuma izņemšana</t>
  </si>
  <si>
    <t>F55 01 00 11</t>
  </si>
  <si>
    <t>SIA MS siltums  pamatkapitāla palielināšanai (katlumāju rekonstrukcija) ; PSIA "Labs nams" pamatkapitāls</t>
  </si>
  <si>
    <t>Mācību, darba un dienesta komandējumi, dienesta, darba braucieni</t>
  </si>
  <si>
    <t>Kompensācijas, kuras izmaksā personām, pamatojoties uz Latvijas tiesu nolēmumiem</t>
  </si>
  <si>
    <t>Sprīdītis</t>
  </si>
  <si>
    <t>Cīrulītis</t>
  </si>
  <si>
    <t>Dzīpariņš</t>
  </si>
  <si>
    <t>Zelta sietiņš</t>
  </si>
  <si>
    <t>Saulīte</t>
  </si>
  <si>
    <t>Ābelīte</t>
  </si>
  <si>
    <t>Strautiņš</t>
  </si>
  <si>
    <t>Riekstiņš</t>
  </si>
  <si>
    <t xml:space="preserve">   Kopā</t>
  </si>
  <si>
    <t>Mērķdot.ped.algām 5-6 gad.</t>
  </si>
  <si>
    <t>1.vidussk.</t>
  </si>
  <si>
    <t>Ģimnāzija.</t>
  </si>
  <si>
    <t>Jaunatnes centrs</t>
  </si>
  <si>
    <t>Apstipr.mērķd.inter.izgl.</t>
  </si>
  <si>
    <t>Koriģētā mērķd.inter.izgl.</t>
  </si>
  <si>
    <t>Mūzikas  skola</t>
  </si>
  <si>
    <r>
      <t xml:space="preserve">Kods 18.6.9.0. “ </t>
    </r>
    <r>
      <rPr>
        <i/>
        <sz val="14"/>
        <rFont val="Times New Roman"/>
        <family val="1"/>
      </rPr>
      <t xml:space="preserve">Pārējie pašvaldību  saņemtie valsts budžeta iestāžu transferti </t>
    </r>
    <r>
      <rPr>
        <sz val="14"/>
        <rFont val="Times New Roman"/>
        <family val="1"/>
      </rPr>
      <t xml:space="preserve">” </t>
    </r>
  </si>
  <si>
    <t>10.70015</t>
  </si>
  <si>
    <t>Kredīta atmaksa        F40322220</t>
  </si>
  <si>
    <t>Līdzekļu atlikums uz gada beigām (Kases apgrozāmie līdzekļi)  F22010020</t>
  </si>
  <si>
    <t>Ģimnāzijai reģionālā metod.centra un pedagogu tālākizglītības centra darbības nodrošin. visp. izgl. iest. pedagogiem</t>
  </si>
  <si>
    <t>09.82032</t>
  </si>
  <si>
    <t>PII "Zelta sietiņš"</t>
  </si>
  <si>
    <t>PII "Ābelīte"</t>
  </si>
  <si>
    <t>PII "Strautiņš"</t>
  </si>
  <si>
    <t>PII "Cīrulītis"</t>
  </si>
  <si>
    <t>Sociālais dienests</t>
  </si>
  <si>
    <t>09.82033</t>
  </si>
  <si>
    <t>Laipas - Ogres upes un tās krastos augošo aizsargājamo biotopu un peldu kūrorta cildināšana, godinot Latvijas valsts pastāvēšanas simtgadi</t>
  </si>
  <si>
    <t>06.60017</t>
  </si>
  <si>
    <t>06.60018</t>
  </si>
  <si>
    <t>05.30012</t>
  </si>
  <si>
    <t xml:space="preserve">Papildus finansējums konkrētiem mērķiem </t>
  </si>
  <si>
    <t>Peldbaseins "Neptūns"</t>
  </si>
  <si>
    <t>08.10004</t>
  </si>
  <si>
    <t xml:space="preserve">SAM 5,6,2, Hanza Matrix Ogres ražošanas teritorijas attīstība būvprojekta izstrāde </t>
  </si>
  <si>
    <t>Kultūrvēsturiskā peminekļa "Pie Zelta Liepas" rekonstrukcija Brīvības iela 18</t>
  </si>
  <si>
    <t>Informatīvi pasākumi uzņēmējiem</t>
  </si>
  <si>
    <t>Kods 19.2.0.0.  Pašvaldību saņemtie transferti no citām pašvaldībām</t>
  </si>
  <si>
    <t>Pielikumā PA "ONKC" budž. korekc.</t>
  </si>
  <si>
    <t>Ogres un Ogresgala atlikums uz gada beigām</t>
  </si>
  <si>
    <t>Laub. bērnunam.   Madl. pans.</t>
  </si>
  <si>
    <t>6400</t>
  </si>
  <si>
    <t>Ogres novada pašvaldības 2017.gada budžeta ieņēmumi.</t>
  </si>
  <si>
    <t xml:space="preserve">Ogres un Ogresgala 2017.g. budžets </t>
  </si>
  <si>
    <t>Pašvald. aģentūras "Ogres namsaim- nieks" 2017.g. budžets</t>
  </si>
  <si>
    <t>Pašvald. aģentūras "Kultūras centrs" 2017.g. budžets</t>
  </si>
  <si>
    <t>Pašvald. aģentūras "Rosme" 2017.g. budžets</t>
  </si>
  <si>
    <t>Suntažu pagasta pārvaldes 2017.g. budžets</t>
  </si>
  <si>
    <t>Lauberes pagasta pārvaldes 2017.g. budžets</t>
  </si>
  <si>
    <t>Ķeipenes pagasta pārvaldes 2017.g. budžets</t>
  </si>
  <si>
    <t>Madlienas pagasta pārvaldes 2017.g. budžets</t>
  </si>
  <si>
    <t>Krapes pagasta pārvaldes 2017.g. budžets</t>
  </si>
  <si>
    <t>Mazozolu pagasta pārvaldes 2017.g. budžets</t>
  </si>
  <si>
    <t>Meņģeles pagasta pārvaldes 2017.g. budžets</t>
  </si>
  <si>
    <t>Taurupes pagasta pārvaldes 2017.g. budžets</t>
  </si>
  <si>
    <t>Ogres novada pašvaldības 2017.g. budžets</t>
  </si>
  <si>
    <t>9.9.2.0</t>
  </si>
  <si>
    <t xml:space="preserve">Pašvaldības un tās iestāžu savstarpējie transferti </t>
  </si>
  <si>
    <t>21.3.6.0.</t>
  </si>
  <si>
    <t>Ieņēmumi no lauksaimnieciskās darbības</t>
  </si>
  <si>
    <t>Budžeta  atl.uz  01. 01. 2017.g.        F22010010</t>
  </si>
  <si>
    <t>Ogres novada pašvaldības 2017. gada budžeta  izdevumi atbilstoši funkcionālajām kategorijām.</t>
  </si>
  <si>
    <t>01.600</t>
  </si>
  <si>
    <t>Pārējie iepriekš neklasificētie vispārējie valdības dienesti</t>
  </si>
  <si>
    <t>04.51008</t>
  </si>
  <si>
    <t>Daugavpils šosejas (A6) REMONTS sadarbībā ar Latvijas valsts ceļiem</t>
  </si>
  <si>
    <t xml:space="preserve">     Ēkas Parka ielā 1, Ogrē siltināšana un rekonstrukcija, pielāgojot pirmsskolas izglītības iestādes vajadzībām</t>
  </si>
  <si>
    <t xml:space="preserve">    Ēkas Upes prospektā 16, Ogrē  siltināšana un rekonstrukcija, pielāgojot Ogres novada Sociālā dienesta un tā struktūrvienību vajadzībām</t>
  </si>
  <si>
    <t>06.60019</t>
  </si>
  <si>
    <t>07.4501</t>
  </si>
  <si>
    <t>08.2301</t>
  </si>
  <si>
    <t>08.2302</t>
  </si>
  <si>
    <t>Kultūras centra kāpņu ansambļa pārbūve</t>
  </si>
  <si>
    <t xml:space="preserve">    Kultūras aktivitātes / pasākumi</t>
  </si>
  <si>
    <t>08.29005</t>
  </si>
  <si>
    <t>Ogres pilsētas vēsturiskā centra kultūras telpas revitalizācija, veicinot latvisko dzīvesziņu (Brīvības ielas skvēra pārbūve pie Zelta Liepas)</t>
  </si>
  <si>
    <t>08.29006</t>
  </si>
  <si>
    <t>Projekts Ķeipenes estrādes būvniecība</t>
  </si>
  <si>
    <t>08.400</t>
  </si>
  <si>
    <t>Reliģisko organizāciju un citu biedrību un nodibinājumu pakalpojumi</t>
  </si>
  <si>
    <t xml:space="preserve">     Projekts Skolēnu autobusi (Šveice)</t>
  </si>
  <si>
    <t>Projekts Skolēnu autobusi (Soc.droš.tīkls)</t>
  </si>
  <si>
    <t>10.70003</t>
  </si>
  <si>
    <t>Sociālā dienesta asistentu pakalpojumi</t>
  </si>
  <si>
    <t>Ogres novada pašvaldības 2017. gada budžeta  izdevumi atbilstoši ekonomiskajām kategorijām.</t>
  </si>
  <si>
    <t>Procentu maksājumi iekšzemes kredītiestādēm</t>
  </si>
  <si>
    <t>Zaudējumi no valūtas kursa svārstībām</t>
  </si>
  <si>
    <t>Kapitālo izdevumu transferti</t>
  </si>
  <si>
    <t>Budžeta atlikums uz 01.01.2017.</t>
  </si>
  <si>
    <t xml:space="preserve">Ogres un Ogresgala 2017.g. budžeta korekc. </t>
  </si>
  <si>
    <t>Pašvald. aģentūras "Ogres namsaimnieks" 2017.g. budž.korekc.</t>
  </si>
  <si>
    <t>Pašvald. aģentūras "Kultūras centrs" 2017.g.korekc.</t>
  </si>
  <si>
    <t>Pašvald. aģentūras "Rosme" 2017.g.korekc.</t>
  </si>
  <si>
    <t>Ogres novada  2017.gada budžeta ieņēmumu grozījumi.</t>
  </si>
  <si>
    <t>Informācija par papildus izdevumu segšanai pieprasītajiem līdzekļiem 2017.gada budžeta grozījumos</t>
  </si>
  <si>
    <t>2017.gada koriģētās mērķdotācijas izglītības iestāžu pedagoģisko darbinieku darba samaksai un sociālās apdrošināšanas oblidātajām iemaksām.</t>
  </si>
  <si>
    <t>SKOLAS  2017.g.koriģētie izdevumi.</t>
  </si>
  <si>
    <t>PII koriģētie izdevumi    2017.gadā</t>
  </si>
  <si>
    <t>2017.g. interešu izglītībai koriģētie izdevumi.</t>
  </si>
  <si>
    <t>2017.g. profesionālās ievirzes izglītības iestāžu koriģētie izdevumi.</t>
  </si>
  <si>
    <t>09.82021</t>
  </si>
  <si>
    <t>Ģimnāzijas projekts "Fiziskās audzināšanas loma skolēnu veselības stiprināšanā"</t>
  </si>
  <si>
    <t>Izdevumi projekta realizācijai</t>
  </si>
  <si>
    <t>Satiksmes ministrijas rīkojums Nr.01-03/209</t>
  </si>
  <si>
    <t>Aprūpes pakalpojumi</t>
  </si>
  <si>
    <t>6300</t>
  </si>
  <si>
    <t>Iekšējas korekcijas saskaņā ar Labklājības ministrijas 28.12.2016.g saņemto informāciju par izmaiņām EKK kodos</t>
  </si>
  <si>
    <t>Teritoriju attīstība (projektēšanai )</t>
  </si>
  <si>
    <t>Autotransporta tunelis zem dzelzceļa - tehniskais projekts</t>
  </si>
  <si>
    <t>EUR 2099 valsts finansējums mācību līdzekļiem</t>
  </si>
  <si>
    <t>EUR 1664 valsts finansējums mācību līdzekļiem</t>
  </si>
  <si>
    <t>EUR 964 valsts finansējums mācību līdzekļiem</t>
  </si>
  <si>
    <t>EUR 2421 valsts finansējums mācību līdzekļiem</t>
  </si>
  <si>
    <t>EUR 945 valsts finansējums mācību līdzekļiem</t>
  </si>
  <si>
    <t>EUR 1626 valsts finansējums mācību līdzekļiem</t>
  </si>
  <si>
    <t>EUR 2080 valsts finansējums mācību līdzekļiem</t>
  </si>
  <si>
    <t>EUR 529 valsts finansējums mācību līdzekļiem</t>
  </si>
  <si>
    <t>EUR 4990 valsts finansējums mācību grāmatām</t>
  </si>
  <si>
    <t>EUR 7554 valsts finansējums mācību grāmatām</t>
  </si>
  <si>
    <t>EUR 5000 valsts finansējums mācību grāmatām</t>
  </si>
  <si>
    <t>EUR 6000 valsts finansējums mācību līdzekļiem</t>
  </si>
  <si>
    <t>EUR 5478 valsts finansējums mācību grāmatām</t>
  </si>
  <si>
    <t>EUR 15666 valsts finansējums mācību līdzekļiem</t>
  </si>
  <si>
    <t>EUR 8700 valsts finansējums mācību līdzekļiem</t>
  </si>
  <si>
    <t>EUR 2715 valsts finansējums mācību līdzekļiem</t>
  </si>
  <si>
    <t>EUR 1000 valsts finansējums mācību grāmatām</t>
  </si>
  <si>
    <t>EUR 1969 valsts finansējums mācību līdzekļiem</t>
  </si>
  <si>
    <t>Dotācija mācību literatūras iegādei</t>
  </si>
  <si>
    <t>Pārējās nodevas</t>
  </si>
  <si>
    <t>01.83011</t>
  </si>
  <si>
    <t>01.83012</t>
  </si>
  <si>
    <t>01.83013</t>
  </si>
  <si>
    <t>03.2001</t>
  </si>
  <si>
    <t>Civilās daizsardzības pasākumi</t>
  </si>
  <si>
    <t>04.11102</t>
  </si>
  <si>
    <t>04.11103</t>
  </si>
  <si>
    <t xml:space="preserve">SAM 5,6,2, Hanza Matrix Ogres ražošanas teritorijas attīstība </t>
  </si>
  <si>
    <t xml:space="preserve">SAM 3.3.1. "Infrastruktūras attīstība, veicinot uzņēmējdarbības attīstību Kartonfabrikas rajonā, rekonstruējot Brīvības ielas posmu Ogrē </t>
  </si>
  <si>
    <t xml:space="preserve">   Novērst plūdu un krasta erozijas risku apdraudējumu Ogres pilsētas teritorijā, veicot vecā aizsargdambja pārbūvi un jauna aizsargmola (straumvirzes) būvniecību pie Ogres upes ietekas Daugavā</t>
  </si>
  <si>
    <t>04.4301</t>
  </si>
  <si>
    <t xml:space="preserve">     Ogres upes promenādes otrā kārta. Krasta ielas lejas promenādes pārbūve</t>
  </si>
  <si>
    <t>05.30001</t>
  </si>
  <si>
    <t>Energoauditi, atzinumi</t>
  </si>
  <si>
    <t>05.4001</t>
  </si>
  <si>
    <t xml:space="preserve">Mājokļu attīstība </t>
  </si>
  <si>
    <t>06.2001</t>
  </si>
  <si>
    <t>Vispārējie ūdens apgādes izdevumi</t>
  </si>
  <si>
    <t>06.60004</t>
  </si>
  <si>
    <t xml:space="preserve">       Projektu konkurss "Veidojam vidi ap mums Ogres novadā"</t>
  </si>
  <si>
    <t xml:space="preserve">      Pašvaldības teritoriju labiekārtošana</t>
  </si>
  <si>
    <t xml:space="preserve">       Mājokļu apsaimniekošana</t>
  </si>
  <si>
    <t xml:space="preserve">       Siltumapgāde</t>
  </si>
  <si>
    <t xml:space="preserve">       Kapu saimniecība</t>
  </si>
  <si>
    <t xml:space="preserve">      Nevalstisko organizāciju projektu atbalstam</t>
  </si>
  <si>
    <t>07.2101</t>
  </si>
  <si>
    <t xml:space="preserve">       Projektu konkurss "R.A.D.I. Ogres novadam" (Kultūras, sporta un izglītības pasākumi, mācības, kursi)</t>
  </si>
  <si>
    <t xml:space="preserve">        Ģimnāzijas projekts ERASMUS programmas pamatdarbības Nr.2 (KA 2),stratēģisko skolu sadarbības partnerību projekts (VĀCIJA)</t>
  </si>
  <si>
    <t xml:space="preserve">       Ģimnāzijas projekts ERASMUS programmas pamatdarbības Nr. 2 (KA 2) stratēģisko skolu sadarbības partnerību projekts (ČEHIJA)</t>
  </si>
  <si>
    <t xml:space="preserve">  Ģimnāzijas projekts ERASMUS programmas stratēģisko skolu sadarbības partnerību projekts (ITĀLIJA) 2016-1-IT02-KA219-024226-3</t>
  </si>
  <si>
    <t>Projektu pieteikumu izstrāde, tehniskās dokumentācijas sagatavošana</t>
  </si>
  <si>
    <t>Pārējās izglītības iestāžu pedagogu profesionālās kompetences  pilnveide (Ģimnāzija)</t>
  </si>
  <si>
    <t xml:space="preserve"> ES projekts "Deinstitucionalizācija un sociālie pakalpojumi personām ar invaliditāti un bērniem"</t>
  </si>
  <si>
    <t>Ģimnāzijas projekts ERASMUS programmas stratēģisko skolu sadarbības partnerību projekts (ITĀLIJA) 2016-1-IT02-KA219-024226-3</t>
  </si>
  <si>
    <t>Precizēti saņemtie projekta līdzekļi</t>
  </si>
  <si>
    <t>Ģimnāzijas projekts ERASMUS programmas stratēģisko skolu sadarbības partnerību projekts (Itāija)</t>
  </si>
  <si>
    <t>08.29007</t>
  </si>
  <si>
    <t>Pārcelti līdzekļi no Izglītības pārvaldes budžeta</t>
  </si>
  <si>
    <t>Izdalīti atsevišķā funkcijā skolēnu vasaras nometņu organizēšanai paredzētie līdzekļi</t>
  </si>
  <si>
    <t>EUR 82 no sporta komandu budžeta par transporta izmantošanu</t>
  </si>
  <si>
    <t>EUR 82 izdevumi par Sporta c. transporta izmantošanu</t>
  </si>
  <si>
    <r>
      <t xml:space="preserve">Informācija par Ogres novada pamatbudžeta transferta maksājumiem, kādiem jābūt </t>
    </r>
    <r>
      <rPr>
        <b/>
        <sz val="10"/>
        <rFont val="Arial"/>
        <family val="2"/>
      </rPr>
      <t>plānotajā 2017.gada marta budžeta grozījumos</t>
    </r>
    <r>
      <rPr>
        <sz val="10"/>
        <rFont val="Arial"/>
        <family val="0"/>
      </rPr>
      <t>.</t>
    </r>
  </si>
  <si>
    <t>10.70006</t>
  </si>
  <si>
    <t>Apstiprināts jauns projekts</t>
  </si>
  <si>
    <t>Jauniešu garantijas ietvaros projekta "PROTI un DARI!" īstenošana</t>
  </si>
  <si>
    <t>ES fondu darbības programmas "Izaugsme un nodarbinātība" Jauniešu garantijas ietvaros un nevalstisko organizāciju vai jauniešu centru darbībā  projekta "PROTI un DARI!" īstenošana</t>
  </si>
  <si>
    <t>Suntažu korim dāvana 140 gadu jubilejā</t>
  </si>
  <si>
    <t>09.8101</t>
  </si>
  <si>
    <t>Interešu izglītības iestāžu pedagogu darba samaksai un soc.apdr. iemaksām</t>
  </si>
  <si>
    <t>Mērķdotācija Suntažu internātskolas finansēšanai</t>
  </si>
  <si>
    <t>Pamata un vispārējās izglītības iestāžu pedagogu darba samaksai un soc.apdr. iemaksām</t>
  </si>
  <si>
    <t>Sporta centram pedagogu darba samaksai un soc.apdr.iem.</t>
  </si>
  <si>
    <t>Basketbolskolai pedagogu darba samaksai un soc.apdr.iem.</t>
  </si>
  <si>
    <t>Mērķdotācija pašvaldību mākslas kolektīvu vadītāju darba samaksai un soc.apdr.iem.</t>
  </si>
  <si>
    <t>EUR dāvana jubilejā</t>
  </si>
  <si>
    <r>
      <t xml:space="preserve">Kods 18.6.4.0. “ </t>
    </r>
    <r>
      <rPr>
        <i/>
        <sz val="14"/>
        <rFont val="Times New Roman"/>
        <family val="1"/>
      </rPr>
      <t xml:space="preserve">Pašvaldību budžetā saņemtā dotācija no pašvaldību finanšu izlīdzināšanas fonda </t>
    </r>
    <r>
      <rPr>
        <sz val="14"/>
        <rFont val="Times New Roman"/>
        <family val="1"/>
      </rPr>
      <t xml:space="preserve">” </t>
    </r>
  </si>
  <si>
    <t>Papildus aktivitātes  Ogres novada pašvaldības iestādēs (vasaras nometnes)</t>
  </si>
  <si>
    <t xml:space="preserve">EUR 2000 Papildus zemes gabala atpirkšanai Brīvības iela 50A </t>
  </si>
  <si>
    <t>Zeme zem ēkām un būvēm</t>
  </si>
  <si>
    <t>Ilgstošās soc. aprūpes pabalstu korekcija</t>
  </si>
  <si>
    <t>08.29008</t>
  </si>
  <si>
    <t>finansējums tiks nodrošināts 2018.gadā</t>
  </si>
  <si>
    <t>Saskaņā ar iepirkumu precizēti projekta izdevumi</t>
  </si>
  <si>
    <t>Madlienā dabas un izziņu parka "Latvijas pagastu ozolu birzs" izveide.</t>
  </si>
  <si>
    <t>LAD Taurupes brīvdabas estrādes projekts (Zied zeme)</t>
  </si>
  <si>
    <t>Dotācijas atlikuma no 2016.gada pašvaldību finanšu izlīdzināšanas fonda sadales</t>
  </si>
  <si>
    <t>Suntažu "Pienotava"" telpu grupas vienkāršota atjaunošana</t>
  </si>
  <si>
    <t>Finansējums bērniem, kuri apmeklē privātās pirmsskolas izglītības iestādes</t>
  </si>
  <si>
    <t>Telpu sagatavošana maiņai ar Tieslietu min. īpašumu</t>
  </si>
  <si>
    <t>06.60012</t>
  </si>
  <si>
    <t>Jauns projekts</t>
  </si>
  <si>
    <t>Atbalsts NVO projektiem</t>
  </si>
  <si>
    <t>Gaisa kvalitātes mēriekārtu iegāde PII iestādēm (10 gab.)</t>
  </si>
  <si>
    <t>Ārējai elektroapgādei un elektr. sadales kastes pārcelšanai</t>
  </si>
  <si>
    <t xml:space="preserve">8.1.2.SAM "Uzlabot vispārējās izglītības iestāžu mācību vidi Ogres novadā" </t>
  </si>
  <si>
    <t>Projektu pieteikumu izstrādei</t>
  </si>
  <si>
    <t>Papildus projekta ekspertīzei</t>
  </si>
  <si>
    <t>Vides pieejamības nodrošināšana Ogres pilsētas pazemes pārejā zem sliežu ceļa</t>
  </si>
  <si>
    <t>Pacēlāju izbūve gājēju tunelī</t>
  </si>
  <si>
    <t xml:space="preserve"> </t>
  </si>
  <si>
    <t>Pārcelti uz 06.400 fukc.bojāto LED apgaismoj. atjaunošana</t>
  </si>
  <si>
    <t>Pārcelti no 04.51001 fukc. - bojāto LED apgaismoj. atjaunošana</t>
  </si>
  <si>
    <t>PA "Rosme" finansējums</t>
  </si>
  <si>
    <t xml:space="preserve">      Vides pieejamības nodrošināšana Ogres pilsētas pazemes pārejā zem sliežu ceļa</t>
  </si>
  <si>
    <t xml:space="preserve">      Latvijas vides un dabas vērtību cildināšana godinot Latvijas valsts pastāvēšanas simtgadi</t>
  </si>
  <si>
    <t xml:space="preserve">      Dabas un izziņu parka "Latvijas pagastu ozolu birzs" izveide Madlienā.</t>
  </si>
  <si>
    <t xml:space="preserve">      Līčkalniņa kapu kapličas būvniecība</t>
  </si>
  <si>
    <t xml:space="preserve">  Siltumnīcefekta gāzu emisiju samazināšana Ogres 1.vidusskolā</t>
  </si>
  <si>
    <t xml:space="preserve">   Bioloģiskās daudzveidības un ainavas aizsardzība</t>
  </si>
  <si>
    <t xml:space="preserve">      Ielu tīrīšanai, atkritumu savākšanai,teritoriju labiekārtošanai</t>
  </si>
  <si>
    <t xml:space="preserve">     Daugavpils šosejas (A6) REMONTS sadarbībā ar Latvijas valsts ceļiem</t>
  </si>
  <si>
    <t xml:space="preserve">   Vispārējie lauksaimniecības izdevumi</t>
  </si>
  <si>
    <t xml:space="preserve">     Finansējums Ogres un Ikšķiles PA "Tūrisma, sporta un atpūtas kompleksa "Zilie kalni"attīstības aģentūra"</t>
  </si>
  <si>
    <t xml:space="preserve">      SAM 9.2.4.2. Pasākumi vietējās sabiedrības slimību profilaksei un veselības veicināšanai</t>
  </si>
  <si>
    <t xml:space="preserve">    Papildus aktivitātes  Ogres novada pašvaldības iestādēs (vasaras nometnes)</t>
  </si>
  <si>
    <t xml:space="preserve">    Kultūras mantojuma saglabāšana un attīstība Daugavas ceļā</t>
  </si>
  <si>
    <t xml:space="preserve">    Taurupes brīvdabas estrādes projekts (Zied zeme, LAD)</t>
  </si>
  <si>
    <t>06.60020</t>
  </si>
  <si>
    <t xml:space="preserve">      Skatu torņa un tam piegulošās infrastruktūras būvniecība NARURA 2000 teritorijā  dabas parkā "Ogres ieleja", aizsargājot un izglītojot sabiedrību par tajā esošajiem aizsargājamiem biotopiem, floru un faunu, kā arī teritorijas kultūrvēsturi</t>
  </si>
  <si>
    <t>08.2304</t>
  </si>
  <si>
    <t xml:space="preserve">    Kultūras centri, nami, klubi</t>
  </si>
  <si>
    <t xml:space="preserve">    Kultūras centri - tautas nami</t>
  </si>
  <si>
    <t>08.300</t>
  </si>
  <si>
    <t>Apraides un izdevniecības pakalpojumi</t>
  </si>
  <si>
    <t>09.6001</t>
  </si>
  <si>
    <t>09.6002</t>
  </si>
  <si>
    <t>Ēdināšanas izmaksu kompensācijas</t>
  </si>
  <si>
    <t>Skolnieku pārvadājumi</t>
  </si>
  <si>
    <t xml:space="preserve">05.1007 </t>
  </si>
  <si>
    <t>Koncesija atkritumu apsaimniekošana</t>
  </si>
  <si>
    <t>Pieaugums sakarā ar publiskā iepirkuma rezultātu</t>
  </si>
  <si>
    <t>.</t>
  </si>
  <si>
    <t>Lielvārdes novada pašvaldība - atkritumu apsaimniekošanas koncesijas izstrādei</t>
  </si>
  <si>
    <t>Ķeguma novada pašvaldība - atkritumu apsaimniekošanas koncesijas izstrādei</t>
  </si>
  <si>
    <t>Baldones novada pašvaldība - atkritumu apsaimniekošanas koncesijas izstrādei</t>
  </si>
  <si>
    <t>No iepriekšējā gada līdzekļu atlikuma izdevumu sadalījums</t>
  </si>
  <si>
    <t>Sanatorijas "Ogre" ēkas restaurācijas projekta tehniskās sagatavošanas līdzfinansējums (tehniskā apsekošana, būvprojekta izstrāde, būvekspertīze)</t>
  </si>
  <si>
    <t>Skatu torņa un tam piegulošās infrastruktūras būvniecība NATURA 2000 teritorijā  dabas parkā "Ogres ieleja", aizsargājot un izglītojot sabiedrību par tajā esošajiem aizsargājamiem biotopiem, floru un faunu, kā arī teritorijas kultūrvēsturi Meņģelē</t>
  </si>
  <si>
    <t>Suntažu internātskolai - profesionālās izglītības Pavāra palīgs īstenošanai (mater.tehn.bāze)</t>
  </si>
  <si>
    <t>EUR 200 dāvana jubilejā</t>
  </si>
  <si>
    <t>EUR 112 500 projekta finansējums un EUR 37 500 pašvaldības līdzfinansējums</t>
  </si>
  <si>
    <t>Ūdensvada avārijas seku likvidēšanai stadionā</t>
  </si>
  <si>
    <t>Video novērošanas ierīkošanai Indrānu ielā 9</t>
  </si>
  <si>
    <t>-252465</t>
  </si>
  <si>
    <t>Papildus izmaksas klašu remontiem</t>
  </si>
  <si>
    <t>Projekta nosaukums</t>
  </si>
  <si>
    <t>LAD projekts Koplietošanas meliorācijas sistēmu atjaunošana Ogres novada Ogresgala pagasta Ciemupes ciema lauksaimniecības zemēs</t>
  </si>
  <si>
    <t>Ogres 1. vidusskolas telpu pārbūbes (t.sk. Multrifunkcionālās zāles un sanitāro mezglu) būvprojekta izstrādei</t>
  </si>
  <si>
    <t xml:space="preserve">Samazinās Valsts kasei atgriežamais kredīts </t>
  </si>
  <si>
    <t>Papildus autobusa iegādei skolēnu pārvadāšanai</t>
  </si>
  <si>
    <t>Līdzfinansējums energoefektivitātes pasākumu veikšanai dzīvojamām mājām 2016. gadā neapgūtie līdzekļi EUR 70 000; pagraba pie 1.v-sk. aizbēršanai EUR 8 349; EUR 3000 pašvaldību dzīvokļu rem.; EUR 3538 Ogresgala jauniešu centra telpu kosmētiskais remonts</t>
  </si>
  <si>
    <t>Jaunogres vidusskolas pievedceļa un stāvlaukuma projekta izstrādes gala maksājums</t>
  </si>
  <si>
    <t>Jaunogres v-skolas pievedceļa un stāvlaukuma izbūvei</t>
  </si>
  <si>
    <t>EUR 1500 inventarizācijas lietai Ogres 1. v-skolas stadionam; jaunās Ģimnāzijas ēkas topogrāfijai EUR 2430; lokālplānojumam EUR 7000</t>
  </si>
  <si>
    <t>EUR 1971 biedra maksas pieaugums  „Reģionālo attīstības centru apvienība”  DL 19.03.2015; EUR 15350 ēku tehniskā apsekošana ( PII "Dzīpariņš"; Jaunogres v-sk.; Suntažu internātsk.; ēka Suntažu 2)</t>
  </si>
  <si>
    <t>6500</t>
  </si>
  <si>
    <t>par labu A. Stārastniekam saskaņā ar tiesas spriedumu par īpašuma tiesību atzīšanu uz mantojumu lietā Nr.C24122615 2016.g. 13. septembrī</t>
  </si>
  <si>
    <t>EUR 7000 Krasta ielas apgaismojumam lejas promenādei un EUR 48400 krasta stiprināšanai un labiekārtošanai</t>
  </si>
  <si>
    <t>Nojumes sakārtošanai</t>
  </si>
  <si>
    <t>Mazsvērtīgā inventāra iegādei, ko nevar apmaksāt no kredīta līdzekļiem</t>
  </si>
  <si>
    <t>Ogres upes promenādes otrā kārta. Krasta ielas lejas promenādes pirmās kārtas pārbūve un jauna būvniecība kopā ar apgaismojumu.</t>
  </si>
  <si>
    <t>06.60021</t>
  </si>
  <si>
    <t xml:space="preserve">     LAD proj. Krapes ev.luteriskās baznīcas torņa atjaunošana </t>
  </si>
  <si>
    <t>Krapes ev. luteriskāS baznīcas torņa atjaunošanai - papildus finansējums</t>
  </si>
  <si>
    <t xml:space="preserve">LAD proj. Krapes ev. luteriskās baznīcas torņa atjaunošana </t>
  </si>
  <si>
    <t xml:space="preserve">EUR 10890 mērķdotācija tautas kolekt. vadīt.darba samaksai un EUR 59552 sadalīts atlikuma palielinājums uz gada sākumu  </t>
  </si>
  <si>
    <t>Papildus finansējums sadarbībai ar nevalstiskām organizācijām ar mērķi sniegt atbalstu, apvienot dalībniekus un nodibināt Ogres novada NVO apvienību</t>
  </si>
  <si>
    <t>16.03.2017. saistošajiem noteikumiem Nr.1/2017</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</si>
</sst>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Ls&quot;;\-#,##0\ &quot;Ls&quot;"/>
    <numFmt numFmtId="193" formatCode="#,##0\ &quot;Ls&quot;;[Red]\-#,##0\ &quot;Ls&quot;"/>
    <numFmt numFmtId="194" formatCode="#,##0.00\ &quot;Ls&quot;;\-#,##0.00\ &quot;Ls&quot;"/>
    <numFmt numFmtId="195" formatCode="#,##0.00\ &quot;Ls&quot;;[Red]\-#,##0.00\ &quot;Ls&quot;"/>
    <numFmt numFmtId="196" formatCode="_-* #,##0\ &quot;Ls&quot;_-;\-* #,##0\ &quot;Ls&quot;_-;_-* &quot;-&quot;\ &quot;Ls&quot;_-;_-@_-"/>
    <numFmt numFmtId="197" formatCode="_-* #,##0\ _L_s_-;\-* #,##0\ _L_s_-;_-* &quot;-&quot;\ _L_s_-;_-@_-"/>
    <numFmt numFmtId="198" formatCode="_-* #,##0.00\ &quot;Ls&quot;_-;\-* #,##0.00\ &quot;Ls&quot;_-;_-* &quot;-&quot;??\ &quot;Ls&quot;_-;_-@_-"/>
    <numFmt numFmtId="199" formatCode="_-* #,##0.00\ _L_s_-;\-* #,##0.00\ _L_s_-;_-* &quot;-&quot;??\ _L_s_-;_-@_-"/>
    <numFmt numFmtId="200" formatCode="0.0"/>
    <numFmt numFmtId="201" formatCode="0.0000"/>
    <numFmt numFmtId="202" formatCode="0.000"/>
    <numFmt numFmtId="203" formatCode="0.0%"/>
    <numFmt numFmtId="204" formatCode="0.000000000"/>
    <numFmt numFmtId="205" formatCode="0.0000000000"/>
    <numFmt numFmtId="206" formatCode="0.00000000"/>
    <numFmt numFmtId="207" formatCode="0.0000000"/>
    <numFmt numFmtId="208" formatCode="0.000000"/>
    <numFmt numFmtId="209" formatCode="0.00000"/>
    <numFmt numFmtId="210" formatCode="#,##0.0"/>
    <numFmt numFmtId="211" formatCode="_-* #,##0.0_-;\-* #,##0.0_-;_-* &quot;-&quot;??_-;_-@_-"/>
    <numFmt numFmtId="212" formatCode="_-* #,##0_-;\-* #,##0_-;_-* &quot;-&quot;??_-;_-@_-"/>
    <numFmt numFmtId="213" formatCode="_-&quot;Ls&quot;\ * #,##0.0_-;\-&quot;Ls&quot;\ * #,##0.0_-;_-&quot;Ls&quot;\ * &quot;-&quot;??_-;_-@_-"/>
    <numFmt numFmtId="214" formatCode="_-&quot;Ls&quot;\ * #,##0_-;\-&quot;Ls&quot;\ * #,##0_-;_-&quot;Ls&quot;\ * &quot;-&quot;??_-;_-@_-"/>
    <numFmt numFmtId="215" formatCode="&quot;Yes&quot;;&quot;Yes&quot;;&quot;No&quot;"/>
    <numFmt numFmtId="216" formatCode="&quot;True&quot;;&quot;True&quot;;&quot;False&quot;"/>
    <numFmt numFmtId="217" formatCode="&quot;On&quot;;&quot;On&quot;;&quot;Off&quot;"/>
    <numFmt numFmtId="218" formatCode="0."/>
    <numFmt numFmtId="219" formatCode="000000"/>
    <numFmt numFmtId="220" formatCode="dd/mm/yy"/>
    <numFmt numFmtId="221" formatCode="[$€-2]\ #,##0.00_);[Red]\([$€-2]\ #,##0.00\)"/>
    <numFmt numFmtId="222" formatCode="#,##0.000"/>
    <numFmt numFmtId="223" formatCode="&quot;Jā&quot;;&quot;Jā&quot;;&quot;Nē&quot;"/>
    <numFmt numFmtId="224" formatCode="&quot;Patiess&quot;;&quot;Patiess&quot;;&quot;Aplams&quot;"/>
    <numFmt numFmtId="225" formatCode="&quot;Ieslēgts&quot;;&quot;Ieslēgts&quot;;&quot;Izslēgts&quot;"/>
    <numFmt numFmtId="226" formatCode="[$€-2]\ #\ ##,000_);[Red]\([$€-2]\ #\ ##,000\)"/>
  </numFmts>
  <fonts count="48">
    <font>
      <sz val="10"/>
      <name val="Arial"/>
      <family val="0"/>
    </font>
    <font>
      <b/>
      <sz val="10"/>
      <name val="Arial"/>
      <family val="2"/>
    </font>
    <font>
      <sz val="10"/>
      <name val="Times New Roman"/>
      <family val="1"/>
    </font>
    <font>
      <sz val="14"/>
      <name val="Arial"/>
      <family val="2"/>
    </font>
    <font>
      <sz val="11"/>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name val="Times New Roman"/>
      <family val="1"/>
    </font>
    <font>
      <b/>
      <sz val="12"/>
      <name val="Times New Roman"/>
      <family val="1"/>
    </font>
    <font>
      <sz val="8"/>
      <name val="Arial"/>
      <family val="2"/>
    </font>
    <font>
      <b/>
      <sz val="10"/>
      <color indexed="10"/>
      <name val="Arial"/>
      <family val="2"/>
    </font>
    <font>
      <sz val="11"/>
      <color indexed="10"/>
      <name val="Times New Roman"/>
      <family val="1"/>
    </font>
    <font>
      <sz val="10"/>
      <color indexed="10"/>
      <name val="Arial"/>
      <family val="2"/>
    </font>
    <font>
      <sz val="16"/>
      <name val="Times New Roman"/>
      <family val="1"/>
    </font>
    <font>
      <sz val="14"/>
      <name val="Times New Roman"/>
      <family val="1"/>
    </font>
    <font>
      <i/>
      <sz val="14"/>
      <name val="Times New Roman"/>
      <family val="1"/>
    </font>
    <font>
      <b/>
      <i/>
      <sz val="11"/>
      <name val="Times New Roman"/>
      <family val="1"/>
    </font>
    <font>
      <i/>
      <sz val="11"/>
      <name val="Times New Roman"/>
      <family val="1"/>
    </font>
    <font>
      <sz val="11"/>
      <name val="Times New Roman Baltic"/>
      <family val="1"/>
    </font>
    <font>
      <sz val="11"/>
      <color indexed="8"/>
      <name val="Arial"/>
      <family val="2"/>
    </font>
    <font>
      <sz val="9"/>
      <name val="Arial"/>
      <family val="2"/>
    </font>
    <font>
      <sz val="11"/>
      <color indexed="30"/>
      <name val="Times New Roman"/>
      <family val="1"/>
    </font>
    <font>
      <sz val="10"/>
      <name val="Times New Roman Baltic"/>
      <family val="1"/>
    </font>
    <font>
      <b/>
      <sz val="10"/>
      <name val="Times New Roman"/>
      <family val="1"/>
    </font>
    <font>
      <sz val="10"/>
      <color rgb="FFFF0000"/>
      <name val="Arial"/>
      <family val="2"/>
    </font>
  </fonts>
  <fills count="26">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thin"/>
      <right style="medium"/>
      <top style="thin"/>
      <bottom style="thin"/>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medium"/>
      <top>
        <color indexed="63"/>
      </top>
      <bottom style="medium"/>
    </border>
    <border>
      <left>
        <color indexed="63"/>
      </left>
      <right>
        <color indexed="63"/>
      </right>
      <top>
        <color indexed="63"/>
      </top>
      <bottom style="thin"/>
    </border>
    <border>
      <left style="medium"/>
      <right style="medium"/>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4" fillId="20" borderId="1" applyNumberFormat="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1" fillId="9" borderId="1" applyNumberFormat="0" applyAlignment="0" applyProtection="0"/>
    <xf numFmtId="0" fontId="8" fillId="0" borderId="0" applyNumberFormat="0" applyFill="0" applyBorder="0" applyAlignment="0" applyProtection="0"/>
    <xf numFmtId="0" fontId="25" fillId="20"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0" fontId="27" fillId="0" borderId="3" applyNumberFormat="0" applyFill="0" applyAlignment="0" applyProtection="0"/>
    <xf numFmtId="0" fontId="17" fillId="6" borderId="0" applyNumberFormat="0" applyBorder="0" applyAlignment="0" applyProtection="0"/>
    <xf numFmtId="0" fontId="23" fillId="21" borderId="0" applyNumberFormat="0" applyBorder="0" applyAlignment="0" applyProtection="0"/>
    <xf numFmtId="0" fontId="0" fillId="0" borderId="0">
      <alignment/>
      <protection/>
    </xf>
    <xf numFmtId="0" fontId="11" fillId="0" borderId="0">
      <alignment/>
      <protection/>
    </xf>
    <xf numFmtId="0" fontId="24" fillId="0" borderId="0">
      <alignment/>
      <protection/>
    </xf>
    <xf numFmtId="0" fontId="24"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5"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22" fillId="0" borderId="6" applyNumberFormat="0" applyFill="0" applyAlignment="0" applyProtection="0"/>
    <xf numFmtId="0" fontId="13" fillId="5" borderId="0" applyNumberFormat="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cellStyleXfs>
  <cellXfs count="503">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horizontal="center" wrapText="1"/>
    </xf>
    <xf numFmtId="0" fontId="6" fillId="0" borderId="0" xfId="0" applyFont="1" applyAlignment="1">
      <alignment horizontal="centerContinuous"/>
    </xf>
    <xf numFmtId="0" fontId="5" fillId="0" borderId="10" xfId="0" applyFont="1" applyBorder="1" applyAlignment="1">
      <alignment/>
    </xf>
    <xf numFmtId="0" fontId="5" fillId="0" borderId="11" xfId="0" applyFont="1" applyBorder="1" applyAlignment="1">
      <alignment/>
    </xf>
    <xf numFmtId="0" fontId="0" fillId="0" borderId="12" xfId="0" applyFont="1" applyBorder="1" applyAlignment="1">
      <alignment/>
    </xf>
    <xf numFmtId="1" fontId="4" fillId="0" borderId="0" xfId="0" applyNumberFormat="1" applyFont="1" applyBorder="1" applyAlignment="1">
      <alignment/>
    </xf>
    <xf numFmtId="1" fontId="5" fillId="0" borderId="0" xfId="0" applyNumberFormat="1" applyFont="1" applyBorder="1" applyAlignment="1">
      <alignment/>
    </xf>
    <xf numFmtId="0" fontId="4" fillId="0" borderId="0" xfId="0" applyFont="1" applyBorder="1" applyAlignment="1">
      <alignment/>
    </xf>
    <xf numFmtId="0" fontId="1" fillId="0" borderId="13" xfId="0" applyFont="1" applyBorder="1" applyAlignment="1">
      <alignment/>
    </xf>
    <xf numFmtId="193" fontId="0" fillId="0" borderId="0" xfId="0" applyNumberFormat="1" applyAlignment="1">
      <alignment/>
    </xf>
    <xf numFmtId="3" fontId="9" fillId="0" borderId="0" xfId="0" applyNumberFormat="1" applyFont="1" applyAlignment="1" applyProtection="1">
      <alignment wrapText="1"/>
      <protection/>
    </xf>
    <xf numFmtId="3" fontId="9" fillId="0" borderId="0" xfId="0" applyNumberFormat="1" applyFont="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3" fontId="10" fillId="0" borderId="0" xfId="0" applyNumberFormat="1" applyFont="1" applyBorder="1" applyAlignment="1" applyProtection="1">
      <alignment/>
      <protection/>
    </xf>
    <xf numFmtId="0" fontId="9" fillId="0" borderId="0" xfId="0" applyFont="1" applyFill="1" applyBorder="1" applyAlignment="1">
      <alignment wrapText="1"/>
    </xf>
    <xf numFmtId="0" fontId="9" fillId="0" borderId="0" xfId="0" applyFont="1" applyFill="1" applyBorder="1" applyAlignment="1">
      <alignment horizontal="right"/>
    </xf>
    <xf numFmtId="0" fontId="9" fillId="0" borderId="0" xfId="0" applyFont="1" applyAlignment="1" applyProtection="1">
      <alignment horizontal="left" vertical="center" wrapText="1"/>
      <protection/>
    </xf>
    <xf numFmtId="0" fontId="0" fillId="0" borderId="14" xfId="0" applyFont="1" applyFill="1" applyBorder="1" applyAlignment="1">
      <alignment/>
    </xf>
    <xf numFmtId="3" fontId="9" fillId="0" borderId="0" xfId="0" applyNumberFormat="1" applyFont="1" applyFill="1" applyBorder="1" applyAlignment="1" applyProtection="1">
      <alignment horizontal="right" wrapText="1"/>
      <protection/>
    </xf>
    <xf numFmtId="3" fontId="9" fillId="0" borderId="0" xfId="0" applyNumberFormat="1" applyFont="1" applyBorder="1" applyAlignment="1" applyProtection="1">
      <alignment horizontal="right"/>
      <protection/>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xf>
    <xf numFmtId="0" fontId="0" fillId="0" borderId="0" xfId="0" applyFont="1" applyFill="1" applyBorder="1" applyAlignment="1">
      <alignment wrapText="1"/>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protection/>
    </xf>
    <xf numFmtId="0" fontId="2" fillId="0" borderId="0" xfId="0" applyFont="1" applyBorder="1" applyAlignment="1">
      <alignment/>
    </xf>
    <xf numFmtId="0" fontId="0" fillId="0" borderId="0" xfId="0" applyFill="1" applyAlignment="1">
      <alignment/>
    </xf>
    <xf numFmtId="0" fontId="0" fillId="0" borderId="14" xfId="0" applyBorder="1" applyAlignment="1">
      <alignment/>
    </xf>
    <xf numFmtId="0" fontId="0" fillId="0" borderId="14" xfId="0" applyBorder="1" applyAlignment="1">
      <alignment horizontal="center" wrapText="1"/>
    </xf>
    <xf numFmtId="9" fontId="0" fillId="0" borderId="14" xfId="0" applyNumberFormat="1" applyFont="1" applyBorder="1" applyAlignment="1">
      <alignment horizontal="center" wrapText="1"/>
    </xf>
    <xf numFmtId="0" fontId="0" fillId="0" borderId="14" xfId="0" applyBorder="1" applyAlignment="1">
      <alignment wrapText="1"/>
    </xf>
    <xf numFmtId="0" fontId="0" fillId="0" borderId="14" xfId="0" applyFill="1" applyBorder="1" applyAlignment="1">
      <alignment wrapText="1"/>
    </xf>
    <xf numFmtId="3" fontId="9" fillId="0" borderId="14" xfId="0" applyNumberFormat="1" applyFont="1" applyFill="1" applyBorder="1" applyAlignment="1">
      <alignment/>
    </xf>
    <xf numFmtId="1" fontId="1" fillId="0" borderId="14" xfId="0" applyNumberFormat="1" applyFont="1" applyBorder="1" applyAlignment="1">
      <alignment/>
    </xf>
    <xf numFmtId="0" fontId="1" fillId="0" borderId="14" xfId="0" applyFont="1" applyBorder="1" applyAlignment="1">
      <alignment/>
    </xf>
    <xf numFmtId="3" fontId="2" fillId="0" borderId="14" xfId="0" applyNumberFormat="1" applyFont="1" applyFill="1" applyBorder="1" applyAlignment="1">
      <alignment/>
    </xf>
    <xf numFmtId="1" fontId="0" fillId="0" borderId="0" xfId="0" applyNumberFormat="1" applyBorder="1" applyAlignment="1">
      <alignment/>
    </xf>
    <xf numFmtId="0" fontId="0" fillId="0" borderId="14" xfId="0" applyFont="1" applyBorder="1" applyAlignment="1">
      <alignment/>
    </xf>
    <xf numFmtId="0" fontId="33" fillId="0" borderId="14" xfId="0" applyFont="1" applyBorder="1" applyAlignment="1">
      <alignment/>
    </xf>
    <xf numFmtId="0" fontId="1" fillId="0" borderId="14" xfId="0" applyFont="1" applyFill="1" applyBorder="1" applyAlignment="1">
      <alignment/>
    </xf>
    <xf numFmtId="3" fontId="0" fillId="0" borderId="14" xfId="0" applyNumberFormat="1" applyBorder="1" applyAlignment="1">
      <alignment/>
    </xf>
    <xf numFmtId="3" fontId="9" fillId="0" borderId="0" xfId="0" applyNumberFormat="1" applyFont="1" applyFill="1" applyBorder="1" applyAlignment="1">
      <alignment/>
    </xf>
    <xf numFmtId="3" fontId="9" fillId="0" borderId="14" xfId="0" applyNumberFormat="1" applyFont="1" applyFill="1" applyBorder="1" applyAlignment="1">
      <alignment wrapText="1"/>
    </xf>
    <xf numFmtId="0" fontId="0" fillId="0" borderId="0" xfId="0" applyBorder="1" applyAlignment="1">
      <alignment/>
    </xf>
    <xf numFmtId="0" fontId="0" fillId="0" borderId="0" xfId="0" applyFill="1" applyBorder="1" applyAlignment="1">
      <alignment/>
    </xf>
    <xf numFmtId="0" fontId="0" fillId="0" borderId="0" xfId="0" applyFont="1" applyAlignment="1">
      <alignment/>
    </xf>
    <xf numFmtId="0" fontId="5" fillId="0" borderId="0" xfId="0" applyFont="1" applyBorder="1" applyAlignment="1">
      <alignment/>
    </xf>
    <xf numFmtId="0" fontId="1" fillId="0" borderId="13" xfId="0" applyFont="1" applyBorder="1" applyAlignment="1">
      <alignment wrapText="1"/>
    </xf>
    <xf numFmtId="3" fontId="10" fillId="0" borderId="14" xfId="0" applyNumberFormat="1" applyFont="1" applyFill="1" applyBorder="1" applyAlignment="1">
      <alignment/>
    </xf>
    <xf numFmtId="3" fontId="10" fillId="0" borderId="14" xfId="0" applyNumberFormat="1" applyFont="1" applyFill="1" applyBorder="1" applyAlignment="1">
      <alignment horizontal="right"/>
    </xf>
    <xf numFmtId="3" fontId="0" fillId="0" borderId="0" xfId="0" applyNumberFormat="1" applyAlignment="1">
      <alignment/>
    </xf>
    <xf numFmtId="0" fontId="35" fillId="0" borderId="0" xfId="0" applyFont="1" applyFill="1" applyBorder="1" applyAlignment="1">
      <alignment horizontal="center" wrapText="1"/>
    </xf>
    <xf numFmtId="1" fontId="4" fillId="0" borderId="0" xfId="0" applyNumberFormat="1" applyFont="1" applyBorder="1" applyAlignment="1">
      <alignment/>
    </xf>
    <xf numFmtId="0" fontId="4" fillId="0" borderId="0" xfId="0" applyFont="1" applyFill="1" applyBorder="1" applyAlignment="1">
      <alignment/>
    </xf>
    <xf numFmtId="3" fontId="10" fillId="0" borderId="0" xfId="0" applyNumberFormat="1" applyFont="1" applyFill="1" applyBorder="1" applyAlignment="1">
      <alignment/>
    </xf>
    <xf numFmtId="3" fontId="9" fillId="0" borderId="0" xfId="0" applyNumberFormat="1" applyFont="1" applyFill="1" applyBorder="1" applyAlignment="1">
      <alignment wrapText="1"/>
    </xf>
    <xf numFmtId="0" fontId="9" fillId="0" borderId="0" xfId="0" applyFont="1" applyAlignment="1" applyProtection="1">
      <alignment horizontal="right"/>
      <protection/>
    </xf>
    <xf numFmtId="3" fontId="9" fillId="0" borderId="0" xfId="0" applyNumberFormat="1" applyFont="1" applyFill="1" applyBorder="1" applyAlignment="1" applyProtection="1">
      <alignment horizontal="right"/>
      <protection/>
    </xf>
    <xf numFmtId="1" fontId="1" fillId="0" borderId="14" xfId="0" applyNumberFormat="1" applyFont="1" applyFill="1" applyBorder="1" applyAlignment="1">
      <alignment/>
    </xf>
    <xf numFmtId="0" fontId="0" fillId="0" borderId="15" xfId="0" applyFont="1" applyBorder="1" applyAlignment="1">
      <alignment/>
    </xf>
    <xf numFmtId="1" fontId="4" fillId="0" borderId="16" xfId="0" applyNumberFormat="1" applyFont="1" applyBorder="1" applyAlignment="1">
      <alignment/>
    </xf>
    <xf numFmtId="0" fontId="0" fillId="0" borderId="10" xfId="0" applyFont="1" applyBorder="1" applyAlignment="1">
      <alignment/>
    </xf>
    <xf numFmtId="1" fontId="5" fillId="0" borderId="11" xfId="0" applyNumberFormat="1" applyFont="1" applyBorder="1" applyAlignment="1">
      <alignment/>
    </xf>
    <xf numFmtId="0" fontId="4" fillId="0" borderId="0" xfId="0" applyFont="1" applyBorder="1" applyAlignment="1">
      <alignment wrapText="1"/>
    </xf>
    <xf numFmtId="3" fontId="2" fillId="0" borderId="0" xfId="0" applyNumberFormat="1" applyFont="1" applyAlignment="1">
      <alignment/>
    </xf>
    <xf numFmtId="202" fontId="0" fillId="0" borderId="0" xfId="0" applyNumberFormat="1" applyAlignment="1">
      <alignment/>
    </xf>
    <xf numFmtId="0" fontId="9" fillId="0" borderId="0" xfId="0" applyFont="1" applyBorder="1" applyAlignment="1">
      <alignment horizontal="left" wrapText="1"/>
    </xf>
    <xf numFmtId="1" fontId="5" fillId="0" borderId="17" xfId="0" applyNumberFormat="1" applyFont="1" applyBorder="1" applyAlignment="1">
      <alignment/>
    </xf>
    <xf numFmtId="3" fontId="34" fillId="0" borderId="0" xfId="0" applyNumberFormat="1" applyFont="1" applyFill="1" applyBorder="1" applyAlignment="1">
      <alignment/>
    </xf>
    <xf numFmtId="0" fontId="2" fillId="0" borderId="0" xfId="0" applyFont="1" applyAlignment="1">
      <alignment/>
    </xf>
    <xf numFmtId="0" fontId="30" fillId="0" borderId="14" xfId="0" applyFont="1" applyFill="1" applyBorder="1" applyAlignment="1">
      <alignment wrapText="1"/>
    </xf>
    <xf numFmtId="0" fontId="30" fillId="0" borderId="14" xfId="0" applyFont="1" applyBorder="1" applyAlignment="1">
      <alignment/>
    </xf>
    <xf numFmtId="0" fontId="9" fillId="0" borderId="14" xfId="0" applyFont="1" applyFill="1" applyBorder="1" applyAlignment="1" applyProtection="1">
      <alignment horizontal="left" wrapText="1"/>
      <protection/>
    </xf>
    <xf numFmtId="0" fontId="9" fillId="0" borderId="14" xfId="0" applyFont="1" applyFill="1" applyBorder="1" applyAlignment="1" applyProtection="1">
      <alignment/>
      <protection/>
    </xf>
    <xf numFmtId="0" fontId="34" fillId="0" borderId="0" xfId="0" applyFont="1" applyFill="1" applyBorder="1" applyAlignment="1" applyProtection="1">
      <alignment/>
      <protection/>
    </xf>
    <xf numFmtId="3" fontId="2" fillId="0" borderId="0" xfId="0" applyNumberFormat="1" applyFont="1" applyBorder="1" applyAlignment="1">
      <alignment/>
    </xf>
    <xf numFmtId="3" fontId="9" fillId="0" borderId="0" xfId="0" applyNumberFormat="1" applyFont="1" applyBorder="1" applyAlignment="1" applyProtection="1">
      <alignment horizontal="right" wrapText="1"/>
      <protection/>
    </xf>
    <xf numFmtId="0" fontId="0" fillId="0" borderId="14" xfId="0" applyFill="1" applyBorder="1" applyAlignment="1">
      <alignment horizontal="center" wrapText="1"/>
    </xf>
    <xf numFmtId="0" fontId="0" fillId="0" borderId="14" xfId="0" applyFont="1" applyBorder="1" applyAlignment="1">
      <alignment horizontal="center" wrapText="1"/>
    </xf>
    <xf numFmtId="0" fontId="37" fillId="0" borderId="0" xfId="0" applyFont="1" applyAlignment="1" applyProtection="1">
      <alignment horizontal="center" vertical="center" wrapText="1"/>
      <protection/>
    </xf>
    <xf numFmtId="0" fontId="9" fillId="0" borderId="0" xfId="0" applyFont="1" applyAlignment="1" applyProtection="1">
      <alignment horizontal="center"/>
      <protection/>
    </xf>
    <xf numFmtId="0" fontId="9" fillId="0" borderId="0" xfId="0" applyFont="1" applyAlignment="1" applyProtection="1">
      <alignment wrapText="1"/>
      <protection/>
    </xf>
    <xf numFmtId="0" fontId="9" fillId="0" borderId="0" xfId="0" applyFont="1" applyAlignment="1" applyProtection="1">
      <alignment horizontal="center" vertical="top" wrapText="1"/>
      <protection/>
    </xf>
    <xf numFmtId="0" fontId="30"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0" fontId="9" fillId="0" borderId="0" xfId="0" applyFont="1" applyBorder="1" applyAlignment="1">
      <alignment/>
    </xf>
    <xf numFmtId="3" fontId="1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wrapText="1"/>
    </xf>
    <xf numFmtId="1" fontId="9" fillId="0" borderId="0" xfId="0" applyNumberFormat="1" applyFont="1" applyFill="1" applyAlignment="1">
      <alignment/>
    </xf>
    <xf numFmtId="0" fontId="9" fillId="0" borderId="0" xfId="54" applyFont="1" applyFill="1" applyAlignment="1">
      <alignment horizontal="left"/>
      <protection/>
    </xf>
    <xf numFmtId="0" fontId="10"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horizontal="left" wrapText="1"/>
    </xf>
    <xf numFmtId="0" fontId="9" fillId="0" borderId="0" xfId="0" applyFont="1" applyFill="1" applyBorder="1" applyAlignment="1">
      <alignment/>
    </xf>
    <xf numFmtId="0" fontId="30" fillId="0" borderId="10" xfId="0" applyFont="1" applyFill="1" applyBorder="1" applyAlignment="1">
      <alignment horizontal="center" vertical="center"/>
    </xf>
    <xf numFmtId="0" fontId="30"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13" xfId="53" applyFont="1" applyFill="1" applyBorder="1" applyAlignment="1">
      <alignment vertical="center" wrapText="1"/>
      <protection/>
    </xf>
    <xf numFmtId="0" fontId="10" fillId="0" borderId="18" xfId="50" applyFont="1" applyFill="1" applyBorder="1" applyAlignment="1" applyProtection="1">
      <alignment horizontal="center" vertical="center" wrapText="1"/>
      <protection/>
    </xf>
    <xf numFmtId="0" fontId="10" fillId="0" borderId="10" xfId="0" applyFont="1" applyFill="1" applyBorder="1" applyAlignment="1">
      <alignment horizontal="right"/>
    </xf>
    <xf numFmtId="0" fontId="10" fillId="0" borderId="13" xfId="0" applyFont="1" applyFill="1" applyBorder="1" applyAlignment="1">
      <alignment wrapText="1"/>
    </xf>
    <xf numFmtId="3" fontId="10" fillId="0" borderId="13" xfId="0" applyNumberFormat="1" applyFont="1" applyFill="1" applyBorder="1" applyAlignment="1">
      <alignment/>
    </xf>
    <xf numFmtId="3" fontId="9" fillId="0" borderId="0" xfId="0" applyNumberFormat="1" applyFont="1" applyFill="1" applyAlignment="1">
      <alignment/>
    </xf>
    <xf numFmtId="0" fontId="9" fillId="0" borderId="12" xfId="0" applyFont="1" applyFill="1" applyBorder="1" applyAlignment="1">
      <alignment horizontal="left"/>
    </xf>
    <xf numFmtId="0" fontId="9" fillId="0" borderId="19" xfId="0" applyFont="1" applyFill="1" applyBorder="1" applyAlignment="1">
      <alignment wrapText="1"/>
    </xf>
    <xf numFmtId="3" fontId="9" fillId="0" borderId="19" xfId="0" applyNumberFormat="1" applyFont="1" applyFill="1" applyBorder="1" applyAlignment="1">
      <alignment/>
    </xf>
    <xf numFmtId="0" fontId="9" fillId="0" borderId="20" xfId="0" applyFont="1" applyFill="1" applyBorder="1" applyAlignment="1">
      <alignment horizontal="right"/>
    </xf>
    <xf numFmtId="0" fontId="9" fillId="0" borderId="14" xfId="0" applyFont="1" applyFill="1" applyBorder="1" applyAlignment="1">
      <alignment wrapText="1"/>
    </xf>
    <xf numFmtId="3" fontId="9" fillId="0" borderId="21" xfId="0" applyNumberFormat="1" applyFont="1" applyFill="1" applyBorder="1" applyAlignment="1">
      <alignment/>
    </xf>
    <xf numFmtId="3" fontId="9" fillId="0" borderId="22" xfId="0" applyNumberFormat="1" applyFont="1" applyFill="1" applyBorder="1" applyAlignment="1">
      <alignment/>
    </xf>
    <xf numFmtId="210" fontId="9" fillId="0" borderId="14" xfId="0" applyNumberFormat="1" applyFont="1" applyFill="1" applyBorder="1" applyAlignment="1">
      <alignment/>
    </xf>
    <xf numFmtId="0" fontId="9" fillId="0" borderId="20" xfId="0" applyFont="1" applyFill="1" applyBorder="1" applyAlignment="1">
      <alignment horizontal="left"/>
    </xf>
    <xf numFmtId="1" fontId="9" fillId="0" borderId="22" xfId="0" applyNumberFormat="1" applyFont="1" applyFill="1" applyBorder="1" applyAlignment="1">
      <alignment/>
    </xf>
    <xf numFmtId="1" fontId="9" fillId="0" borderId="14" xfId="0" applyNumberFormat="1" applyFont="1" applyFill="1" applyBorder="1" applyAlignment="1">
      <alignment/>
    </xf>
    <xf numFmtId="0" fontId="9" fillId="0" borderId="15" xfId="0" applyFont="1" applyFill="1" applyBorder="1" applyAlignment="1">
      <alignment horizontal="left"/>
    </xf>
    <xf numFmtId="0" fontId="9" fillId="0" borderId="16" xfId="0" applyFont="1" applyFill="1" applyBorder="1" applyAlignment="1">
      <alignment wrapText="1"/>
    </xf>
    <xf numFmtId="3" fontId="9" fillId="0" borderId="16" xfId="0" applyNumberFormat="1" applyFont="1" applyFill="1" applyBorder="1" applyAlignment="1">
      <alignment/>
    </xf>
    <xf numFmtId="3" fontId="9" fillId="0" borderId="23" xfId="0" applyNumberFormat="1" applyFont="1" applyFill="1" applyBorder="1" applyAlignment="1">
      <alignment/>
    </xf>
    <xf numFmtId="200" fontId="9" fillId="0" borderId="16" xfId="0" applyNumberFormat="1" applyFont="1" applyFill="1" applyBorder="1" applyAlignment="1">
      <alignment/>
    </xf>
    <xf numFmtId="0" fontId="9" fillId="0" borderId="16" xfId="0" applyFont="1" applyFill="1" applyBorder="1" applyAlignment="1">
      <alignment/>
    </xf>
    <xf numFmtId="3" fontId="10" fillId="0" borderId="24" xfId="0" applyNumberFormat="1" applyFont="1" applyFill="1" applyBorder="1" applyAlignment="1">
      <alignment/>
    </xf>
    <xf numFmtId="3" fontId="9" fillId="0" borderId="25" xfId="0" applyNumberFormat="1" applyFont="1" applyFill="1" applyBorder="1" applyAlignment="1">
      <alignment/>
    </xf>
    <xf numFmtId="3" fontId="10" fillId="0" borderId="19" xfId="0" applyNumberFormat="1" applyFont="1" applyFill="1" applyBorder="1" applyAlignment="1">
      <alignment/>
    </xf>
    <xf numFmtId="1" fontId="9" fillId="0" borderId="19" xfId="0" applyNumberFormat="1" applyFont="1" applyFill="1" applyBorder="1" applyAlignment="1">
      <alignment/>
    </xf>
    <xf numFmtId="0" fontId="9" fillId="0" borderId="19" xfId="0" applyFont="1" applyFill="1" applyBorder="1" applyAlignment="1">
      <alignment/>
    </xf>
    <xf numFmtId="0" fontId="9" fillId="0" borderId="14" xfId="0" applyFont="1" applyFill="1" applyBorder="1" applyAlignment="1">
      <alignment/>
    </xf>
    <xf numFmtId="200" fontId="9" fillId="0" borderId="14" xfId="0" applyNumberFormat="1" applyFont="1" applyFill="1" applyBorder="1" applyAlignment="1">
      <alignment/>
    </xf>
    <xf numFmtId="3" fontId="9" fillId="0" borderId="26" xfId="0" applyNumberFormat="1" applyFont="1" applyFill="1" applyBorder="1" applyAlignment="1">
      <alignment/>
    </xf>
    <xf numFmtId="0" fontId="9" fillId="0" borderId="21" xfId="0" applyFont="1" applyFill="1" applyBorder="1" applyAlignment="1">
      <alignment/>
    </xf>
    <xf numFmtId="0" fontId="10" fillId="0" borderId="27" xfId="0" applyFont="1" applyFill="1" applyBorder="1" applyAlignment="1">
      <alignment horizontal="left"/>
    </xf>
    <xf numFmtId="0" fontId="10" fillId="0" borderId="10" xfId="0" applyFont="1" applyFill="1" applyBorder="1" applyAlignment="1">
      <alignment horizontal="left"/>
    </xf>
    <xf numFmtId="0" fontId="9" fillId="0" borderId="28" xfId="0" applyFont="1" applyFill="1" applyBorder="1" applyAlignment="1">
      <alignment horizontal="left"/>
    </xf>
    <xf numFmtId="0" fontId="9" fillId="0" borderId="29" xfId="0" applyFont="1" applyFill="1" applyBorder="1" applyAlignment="1">
      <alignment wrapText="1"/>
    </xf>
    <xf numFmtId="3" fontId="9" fillId="0" borderId="30" xfId="0" applyNumberFormat="1" applyFont="1" applyFill="1" applyBorder="1" applyAlignment="1">
      <alignment/>
    </xf>
    <xf numFmtId="0" fontId="9" fillId="0" borderId="12" xfId="0" applyFont="1" applyFill="1" applyBorder="1" applyAlignment="1">
      <alignment horizontal="right"/>
    </xf>
    <xf numFmtId="200" fontId="9" fillId="0" borderId="19" xfId="0" applyNumberFormat="1" applyFont="1" applyFill="1" applyBorder="1" applyAlignment="1">
      <alignment/>
    </xf>
    <xf numFmtId="0" fontId="10" fillId="0" borderId="20" xfId="0" applyFont="1" applyFill="1" applyBorder="1" applyAlignment="1">
      <alignment horizontal="left"/>
    </xf>
    <xf numFmtId="0" fontId="10" fillId="0" borderId="14" xfId="0" applyFont="1" applyFill="1" applyBorder="1" applyAlignment="1">
      <alignment wrapText="1"/>
    </xf>
    <xf numFmtId="3" fontId="9" fillId="0" borderId="31" xfId="0" applyNumberFormat="1" applyFont="1" applyFill="1" applyBorder="1" applyAlignment="1">
      <alignment/>
    </xf>
    <xf numFmtId="3" fontId="9" fillId="0" borderId="32" xfId="0" applyNumberFormat="1" applyFont="1" applyFill="1" applyBorder="1" applyAlignment="1">
      <alignment/>
    </xf>
    <xf numFmtId="0" fontId="9" fillId="0" borderId="10" xfId="0" applyFont="1" applyFill="1" applyBorder="1" applyAlignment="1">
      <alignment horizontal="right"/>
    </xf>
    <xf numFmtId="0" fontId="10" fillId="0" borderId="13" xfId="0" applyFont="1" applyFill="1" applyBorder="1" applyAlignment="1">
      <alignment horizontal="right" wrapText="1"/>
    </xf>
    <xf numFmtId="3" fontId="10" fillId="0" borderId="13" xfId="0" applyNumberFormat="1" applyFont="1" applyFill="1" applyBorder="1" applyAlignment="1">
      <alignment horizontal="center"/>
    </xf>
    <xf numFmtId="0" fontId="9" fillId="0" borderId="19" xfId="0" applyFont="1" applyFill="1" applyBorder="1" applyAlignment="1" applyProtection="1">
      <alignment/>
      <protection/>
    </xf>
    <xf numFmtId="0" fontId="9" fillId="0" borderId="19" xfId="0" applyFont="1" applyFill="1" applyBorder="1" applyAlignment="1" applyProtection="1">
      <alignment horizontal="left" wrapText="1"/>
      <protection/>
    </xf>
    <xf numFmtId="0" fontId="9" fillId="0" borderId="25" xfId="0" applyFont="1" applyFill="1" applyBorder="1" applyAlignment="1">
      <alignment/>
    </xf>
    <xf numFmtId="0" fontId="10" fillId="0" borderId="14" xfId="0" applyFont="1" applyFill="1" applyBorder="1" applyAlignment="1" applyProtection="1">
      <alignment/>
      <protection/>
    </xf>
    <xf numFmtId="0" fontId="10" fillId="0" borderId="14" xfId="0" applyFont="1" applyFill="1" applyBorder="1" applyAlignment="1" applyProtection="1">
      <alignment horizontal="left" wrapText="1"/>
      <protection/>
    </xf>
    <xf numFmtId="3" fontId="10" fillId="0" borderId="14" xfId="0" applyNumberFormat="1" applyFont="1" applyFill="1" applyBorder="1" applyAlignment="1" applyProtection="1">
      <alignment horizontal="center"/>
      <protection/>
    </xf>
    <xf numFmtId="3" fontId="10" fillId="0" borderId="14" xfId="0" applyNumberFormat="1" applyFont="1" applyFill="1" applyBorder="1" applyAlignment="1" applyProtection="1">
      <alignment/>
      <protection/>
    </xf>
    <xf numFmtId="3" fontId="10" fillId="0" borderId="21" xfId="0" applyNumberFormat="1" applyFont="1" applyFill="1" applyBorder="1" applyAlignment="1" applyProtection="1">
      <alignment/>
      <protection/>
    </xf>
    <xf numFmtId="3" fontId="9" fillId="0" borderId="14"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3" fontId="10" fillId="0" borderId="0" xfId="0" applyNumberFormat="1" applyFont="1" applyFill="1" applyBorder="1" applyAlignment="1" applyProtection="1">
      <alignment horizontal="center"/>
      <protection/>
    </xf>
    <xf numFmtId="3" fontId="10" fillId="0" borderId="0" xfId="0" applyNumberFormat="1" applyFont="1" applyFill="1" applyBorder="1" applyAlignment="1" applyProtection="1">
      <alignment/>
      <protection/>
    </xf>
    <xf numFmtId="210" fontId="10" fillId="0" borderId="0" xfId="0" applyNumberFormat="1" applyFont="1" applyFill="1" applyBorder="1" applyAlignment="1">
      <alignment/>
    </xf>
    <xf numFmtId="0" fontId="9" fillId="0" borderId="0" xfId="0" applyFont="1" applyFill="1" applyAlignment="1">
      <alignment wrapText="1"/>
    </xf>
    <xf numFmtId="0" fontId="9" fillId="0" borderId="0" xfId="54" applyFont="1" applyFill="1" applyAlignment="1">
      <alignment horizontal="right"/>
      <protection/>
    </xf>
    <xf numFmtId="0" fontId="10" fillId="0" borderId="0" xfId="0" applyFont="1" applyFill="1" applyBorder="1" applyAlignment="1">
      <alignment horizontal="right"/>
    </xf>
    <xf numFmtId="3" fontId="10" fillId="0" borderId="0" xfId="0" applyNumberFormat="1" applyFont="1" applyFill="1" applyBorder="1" applyAlignment="1">
      <alignment wrapText="1"/>
    </xf>
    <xf numFmtId="49" fontId="10" fillId="0" borderId="10" xfId="0" applyNumberFormat="1" applyFont="1" applyFill="1" applyBorder="1" applyAlignment="1">
      <alignment/>
    </xf>
    <xf numFmtId="49" fontId="10" fillId="0" borderId="12" xfId="0" applyNumberFormat="1" applyFont="1" applyFill="1" applyBorder="1" applyAlignment="1">
      <alignment horizontal="right"/>
    </xf>
    <xf numFmtId="0" fontId="10" fillId="0" borderId="19" xfId="0" applyFont="1" applyFill="1" applyBorder="1" applyAlignment="1">
      <alignment wrapText="1"/>
    </xf>
    <xf numFmtId="3" fontId="10" fillId="0" borderId="25" xfId="0" applyNumberFormat="1" applyFont="1" applyFill="1" applyBorder="1" applyAlignment="1">
      <alignment/>
    </xf>
    <xf numFmtId="3" fontId="10" fillId="0" borderId="33" xfId="0" applyNumberFormat="1" applyFont="1" applyFill="1" applyBorder="1" applyAlignment="1">
      <alignment/>
    </xf>
    <xf numFmtId="49" fontId="10" fillId="0" borderId="20" xfId="0" applyNumberFormat="1" applyFont="1" applyFill="1" applyBorder="1" applyAlignment="1">
      <alignment horizontal="right"/>
    </xf>
    <xf numFmtId="3" fontId="10" fillId="0" borderId="21" xfId="0" applyNumberFormat="1" applyFont="1" applyFill="1" applyBorder="1" applyAlignment="1">
      <alignment/>
    </xf>
    <xf numFmtId="49" fontId="9" fillId="0" borderId="20" xfId="0" applyNumberFormat="1" applyFont="1" applyFill="1" applyBorder="1" applyAlignment="1">
      <alignment horizontal="right"/>
    </xf>
    <xf numFmtId="0" fontId="9" fillId="0" borderId="22" xfId="0" applyFont="1" applyFill="1" applyBorder="1" applyAlignment="1">
      <alignment/>
    </xf>
    <xf numFmtId="0" fontId="10" fillId="0" borderId="14" xfId="0" applyFont="1" applyFill="1" applyBorder="1" applyAlignment="1">
      <alignment horizontal="left" wrapText="1"/>
    </xf>
    <xf numFmtId="0" fontId="9" fillId="0" borderId="26" xfId="0" applyFont="1" applyFill="1" applyBorder="1" applyAlignment="1">
      <alignment/>
    </xf>
    <xf numFmtId="49" fontId="9" fillId="0" borderId="20" xfId="0" applyNumberFormat="1" applyFont="1" applyFill="1" applyBorder="1" applyAlignment="1">
      <alignment horizontal="right" wrapText="1"/>
    </xf>
    <xf numFmtId="49" fontId="10" fillId="0" borderId="15" xfId="0" applyNumberFormat="1" applyFont="1" applyFill="1" applyBorder="1" applyAlignment="1">
      <alignment horizontal="right"/>
    </xf>
    <xf numFmtId="0" fontId="10" fillId="0" borderId="16" xfId="0" applyFont="1" applyFill="1" applyBorder="1" applyAlignment="1">
      <alignment wrapText="1"/>
    </xf>
    <xf numFmtId="3" fontId="10" fillId="0" borderId="16" xfId="0" applyNumberFormat="1" applyFont="1" applyFill="1" applyBorder="1" applyAlignment="1">
      <alignment/>
    </xf>
    <xf numFmtId="200" fontId="10" fillId="0" borderId="16" xfId="0" applyNumberFormat="1" applyFont="1" applyFill="1" applyBorder="1" applyAlignment="1">
      <alignment/>
    </xf>
    <xf numFmtId="1" fontId="10" fillId="0" borderId="16" xfId="0" applyNumberFormat="1" applyFont="1" applyFill="1" applyBorder="1" applyAlignment="1">
      <alignment/>
    </xf>
    <xf numFmtId="0" fontId="10" fillId="0" borderId="16" xfId="0" applyFont="1" applyFill="1" applyBorder="1" applyAlignment="1">
      <alignment/>
    </xf>
    <xf numFmtId="49" fontId="10" fillId="0" borderId="10" xfId="0" applyNumberFormat="1" applyFont="1" applyFill="1" applyBorder="1" applyAlignment="1">
      <alignment horizontal="left"/>
    </xf>
    <xf numFmtId="200" fontId="9" fillId="0" borderId="31" xfId="0" applyNumberFormat="1" applyFont="1" applyFill="1" applyBorder="1" applyAlignment="1">
      <alignment/>
    </xf>
    <xf numFmtId="0" fontId="9" fillId="0" borderId="31" xfId="0" applyFont="1" applyFill="1" applyBorder="1" applyAlignment="1">
      <alignment/>
    </xf>
    <xf numFmtId="0" fontId="10" fillId="0" borderId="19" xfId="0" applyFont="1" applyFill="1" applyBorder="1" applyAlignment="1">
      <alignment/>
    </xf>
    <xf numFmtId="49" fontId="9" fillId="0" borderId="12" xfId="0" applyNumberFormat="1" applyFont="1" applyFill="1" applyBorder="1" applyAlignment="1">
      <alignment horizontal="right"/>
    </xf>
    <xf numFmtId="0" fontId="9" fillId="0" borderId="19" xfId="0" applyFont="1" applyFill="1" applyBorder="1" applyAlignment="1">
      <alignment horizontal="left" wrapText="1"/>
    </xf>
    <xf numFmtId="0" fontId="9" fillId="0" borderId="14" xfId="0" applyFont="1" applyFill="1" applyBorder="1" applyAlignment="1">
      <alignment horizontal="left" wrapText="1"/>
    </xf>
    <xf numFmtId="0" fontId="10" fillId="0" borderId="13" xfId="0" applyFont="1" applyFill="1" applyBorder="1" applyAlignment="1">
      <alignment horizontal="left" wrapText="1"/>
    </xf>
    <xf numFmtId="0" fontId="10" fillId="0" borderId="19" xfId="0" applyFont="1" applyFill="1" applyBorder="1" applyAlignment="1">
      <alignment horizontal="left" wrapText="1"/>
    </xf>
    <xf numFmtId="49" fontId="9" fillId="0" borderId="15" xfId="0" applyNumberFormat="1" applyFont="1" applyFill="1" applyBorder="1" applyAlignment="1">
      <alignment horizontal="right"/>
    </xf>
    <xf numFmtId="200" fontId="9" fillId="0" borderId="25" xfId="0" applyNumberFormat="1" applyFont="1" applyFill="1" applyBorder="1" applyAlignment="1">
      <alignment/>
    </xf>
    <xf numFmtId="0" fontId="9" fillId="0" borderId="22" xfId="0" applyFont="1" applyFill="1" applyBorder="1" applyAlignment="1">
      <alignment horizontal="left" wrapText="1"/>
    </xf>
    <xf numFmtId="0" fontId="9" fillId="0" borderId="32" xfId="0" applyFont="1" applyFill="1" applyBorder="1" applyAlignment="1">
      <alignment/>
    </xf>
    <xf numFmtId="0" fontId="9" fillId="0" borderId="34" xfId="0" applyFont="1" applyFill="1" applyBorder="1" applyAlignment="1">
      <alignment/>
    </xf>
    <xf numFmtId="49" fontId="10" fillId="0" borderId="35" xfId="0" applyNumberFormat="1" applyFont="1" applyFill="1" applyBorder="1" applyAlignment="1">
      <alignment horizontal="left"/>
    </xf>
    <xf numFmtId="2" fontId="9" fillId="0" borderId="14" xfId="0" applyNumberFormat="1" applyFont="1" applyFill="1" applyBorder="1" applyAlignment="1">
      <alignment wrapText="1"/>
    </xf>
    <xf numFmtId="2" fontId="10" fillId="0" borderId="14" xfId="0" applyNumberFormat="1" applyFont="1" applyFill="1" applyBorder="1" applyAlignment="1">
      <alignment wrapText="1"/>
    </xf>
    <xf numFmtId="200" fontId="9" fillId="0" borderId="21" xfId="0" applyNumberFormat="1" applyFont="1" applyFill="1" applyBorder="1" applyAlignment="1">
      <alignment/>
    </xf>
    <xf numFmtId="200" fontId="10" fillId="0" borderId="14" xfId="0" applyNumberFormat="1" applyFont="1" applyFill="1" applyBorder="1" applyAlignment="1">
      <alignment/>
    </xf>
    <xf numFmtId="0" fontId="10" fillId="0" borderId="21" xfId="0" applyFont="1" applyFill="1" applyBorder="1" applyAlignment="1">
      <alignment/>
    </xf>
    <xf numFmtId="49" fontId="10" fillId="0" borderId="36" xfId="0" applyNumberFormat="1" applyFont="1" applyFill="1" applyBorder="1" applyAlignment="1">
      <alignment horizontal="right"/>
    </xf>
    <xf numFmtId="0" fontId="10" fillId="0" borderId="37" xfId="0" applyFont="1" applyFill="1" applyBorder="1" applyAlignment="1">
      <alignment wrapText="1"/>
    </xf>
    <xf numFmtId="3" fontId="10" fillId="0" borderId="38" xfId="0" applyNumberFormat="1" applyFont="1" applyFill="1" applyBorder="1" applyAlignment="1">
      <alignment/>
    </xf>
    <xf numFmtId="0" fontId="10" fillId="0" borderId="29" xfId="0" applyFont="1" applyFill="1" applyBorder="1" applyAlignment="1">
      <alignment wrapText="1"/>
    </xf>
    <xf numFmtId="3" fontId="10" fillId="0" borderId="29" xfId="0" applyNumberFormat="1" applyFont="1" applyFill="1" applyBorder="1" applyAlignment="1">
      <alignment/>
    </xf>
    <xf numFmtId="200" fontId="10" fillId="0" borderId="29" xfId="0" applyNumberFormat="1" applyFont="1" applyFill="1" applyBorder="1" applyAlignment="1">
      <alignment/>
    </xf>
    <xf numFmtId="1" fontId="10" fillId="0" borderId="29" xfId="0" applyNumberFormat="1" applyFont="1" applyFill="1" applyBorder="1" applyAlignment="1">
      <alignment/>
    </xf>
    <xf numFmtId="0" fontId="10" fillId="0" borderId="29" xfId="0" applyFont="1" applyFill="1" applyBorder="1" applyAlignment="1">
      <alignment/>
    </xf>
    <xf numFmtId="0" fontId="9" fillId="0" borderId="10" xfId="0" applyFont="1" applyFill="1" applyBorder="1" applyAlignment="1">
      <alignment/>
    </xf>
    <xf numFmtId="3" fontId="10" fillId="0" borderId="13" xfId="0" applyNumberFormat="1" applyFont="1" applyFill="1" applyBorder="1" applyAlignment="1">
      <alignment wrapText="1"/>
    </xf>
    <xf numFmtId="0" fontId="10" fillId="0" borderId="0" xfId="0" applyFont="1" applyFill="1" applyBorder="1" applyAlignment="1">
      <alignment wrapText="1"/>
    </xf>
    <xf numFmtId="3" fontId="10" fillId="0" borderId="0" xfId="0" applyNumberFormat="1" applyFont="1" applyFill="1" applyAlignment="1">
      <alignment/>
    </xf>
    <xf numFmtId="49" fontId="9" fillId="0" borderId="0" xfId="0" applyNumberFormat="1" applyFont="1" applyFill="1" applyAlignment="1">
      <alignment horizontal="center" wrapText="1"/>
    </xf>
    <xf numFmtId="0" fontId="9" fillId="0" borderId="0" xfId="50" applyFont="1" applyFill="1" applyBorder="1" applyAlignment="1">
      <alignment horizontal="left" wrapText="1"/>
      <protection/>
    </xf>
    <xf numFmtId="0" fontId="10" fillId="0" borderId="28" xfId="0" applyFont="1" applyFill="1" applyBorder="1" applyAlignment="1">
      <alignment horizontal="left"/>
    </xf>
    <xf numFmtId="0" fontId="9" fillId="0" borderId="29" xfId="0" applyFont="1" applyFill="1" applyBorder="1" applyAlignment="1">
      <alignment/>
    </xf>
    <xf numFmtId="0" fontId="10" fillId="0" borderId="24" xfId="0" applyFont="1" applyFill="1" applyBorder="1" applyAlignment="1">
      <alignment horizontal="right"/>
    </xf>
    <xf numFmtId="3" fontId="9" fillId="0" borderId="0" xfId="0" applyNumberFormat="1" applyFont="1" applyFill="1" applyBorder="1" applyAlignment="1">
      <alignment horizontal="right" wrapText="1"/>
    </xf>
    <xf numFmtId="1" fontId="4" fillId="0" borderId="16" xfId="0" applyNumberFormat="1" applyFont="1" applyFill="1" applyBorder="1" applyAlignment="1">
      <alignment/>
    </xf>
    <xf numFmtId="1" fontId="4" fillId="0" borderId="16" xfId="0" applyNumberFormat="1" applyFont="1" applyBorder="1" applyAlignment="1">
      <alignment wrapText="1"/>
    </xf>
    <xf numFmtId="1" fontId="9" fillId="0" borderId="16" xfId="0" applyNumberFormat="1" applyFont="1" applyFill="1" applyBorder="1" applyAlignment="1">
      <alignment/>
    </xf>
    <xf numFmtId="0" fontId="9" fillId="0" borderId="0" xfId="0" applyFont="1" applyFill="1" applyBorder="1" applyAlignment="1">
      <alignment horizontal="center"/>
    </xf>
    <xf numFmtId="0" fontId="10" fillId="0" borderId="0" xfId="0" applyFont="1" applyFill="1" applyBorder="1" applyAlignment="1">
      <alignment horizontal="left" wrapText="1"/>
    </xf>
    <xf numFmtId="3" fontId="9" fillId="0" borderId="13" xfId="0" applyNumberFormat="1" applyFont="1" applyFill="1" applyBorder="1" applyAlignment="1" applyProtection="1">
      <alignment horizontal="center" vertical="center" wrapText="1"/>
      <protection/>
    </xf>
    <xf numFmtId="0" fontId="9" fillId="0" borderId="39" xfId="52" applyFont="1" applyFill="1" applyBorder="1" applyAlignment="1">
      <alignment horizontal="center" vertical="center" wrapText="1"/>
      <protection/>
    </xf>
    <xf numFmtId="0" fontId="9" fillId="0" borderId="24" xfId="53" applyFont="1" applyFill="1" applyBorder="1" applyAlignment="1">
      <alignment vertical="center" wrapText="1"/>
      <protection/>
    </xf>
    <xf numFmtId="1" fontId="2" fillId="0" borderId="14" xfId="0" applyNumberFormat="1" applyFont="1" applyFill="1" applyBorder="1" applyAlignment="1">
      <alignment/>
    </xf>
    <xf numFmtId="0" fontId="9" fillId="0" borderId="23" xfId="0" applyFont="1" applyFill="1" applyBorder="1" applyAlignment="1">
      <alignment/>
    </xf>
    <xf numFmtId="3" fontId="2" fillId="0" borderId="16" xfId="0" applyNumberFormat="1" applyFont="1" applyFill="1" applyBorder="1" applyAlignment="1">
      <alignment/>
    </xf>
    <xf numFmtId="3" fontId="9" fillId="24" borderId="40" xfId="0" applyNumberFormat="1" applyFont="1" applyFill="1" applyBorder="1" applyAlignment="1">
      <alignment/>
    </xf>
    <xf numFmtId="3" fontId="9" fillId="0" borderId="41" xfId="0" applyNumberFormat="1" applyFont="1" applyFill="1" applyBorder="1" applyAlignment="1">
      <alignment/>
    </xf>
    <xf numFmtId="1" fontId="9" fillId="0" borderId="31" xfId="0" applyNumberFormat="1" applyFont="1" applyFill="1" applyBorder="1" applyAlignment="1">
      <alignment/>
    </xf>
    <xf numFmtId="3" fontId="10" fillId="0" borderId="42" xfId="0" applyNumberFormat="1" applyFont="1" applyFill="1" applyBorder="1" applyAlignment="1">
      <alignment/>
    </xf>
    <xf numFmtId="1" fontId="10" fillId="0" borderId="40" xfId="0" applyNumberFormat="1" applyFont="1" applyFill="1" applyBorder="1" applyAlignment="1">
      <alignment/>
    </xf>
    <xf numFmtId="0" fontId="10" fillId="0" borderId="23" xfId="0" applyFont="1" applyFill="1" applyBorder="1" applyAlignment="1">
      <alignment/>
    </xf>
    <xf numFmtId="0" fontId="9" fillId="0" borderId="16" xfId="0" applyFont="1" applyBorder="1" applyAlignment="1">
      <alignment horizontal="left" wrapText="1"/>
    </xf>
    <xf numFmtId="0" fontId="9" fillId="24" borderId="14" xfId="0" applyFont="1" applyFill="1" applyBorder="1" applyAlignment="1">
      <alignment/>
    </xf>
    <xf numFmtId="3" fontId="9" fillId="24" borderId="14" xfId="0" applyNumberFormat="1" applyFont="1" applyFill="1" applyBorder="1" applyAlignment="1">
      <alignment/>
    </xf>
    <xf numFmtId="0" fontId="9" fillId="0" borderId="14" xfId="0" applyFont="1" applyBorder="1" applyAlignment="1">
      <alignment horizontal="left" wrapText="1"/>
    </xf>
    <xf numFmtId="0" fontId="10" fillId="0" borderId="43" xfId="0" applyFont="1" applyFill="1" applyBorder="1" applyAlignment="1">
      <alignment/>
    </xf>
    <xf numFmtId="3" fontId="10" fillId="0" borderId="44" xfId="0" applyNumberFormat="1" applyFont="1" applyFill="1" applyBorder="1" applyAlignment="1">
      <alignment/>
    </xf>
    <xf numFmtId="0" fontId="9" fillId="0" borderId="40" xfId="0" applyFont="1" applyFill="1" applyBorder="1" applyAlignment="1">
      <alignment wrapText="1"/>
    </xf>
    <xf numFmtId="3" fontId="10" fillId="0" borderId="35" xfId="0" applyNumberFormat="1" applyFont="1" applyFill="1" applyBorder="1" applyAlignment="1">
      <alignment/>
    </xf>
    <xf numFmtId="1" fontId="5" fillId="0" borderId="13" xfId="0" applyNumberFormat="1" applyFont="1" applyBorder="1" applyAlignment="1">
      <alignment/>
    </xf>
    <xf numFmtId="0" fontId="9" fillId="0" borderId="0" xfId="0" applyFont="1" applyAlignment="1">
      <alignment horizontal="right"/>
    </xf>
    <xf numFmtId="3" fontId="0" fillId="0" borderId="14" xfId="0" applyNumberFormat="1" applyFont="1" applyFill="1" applyBorder="1" applyAlignment="1">
      <alignment/>
    </xf>
    <xf numFmtId="49" fontId="9" fillId="0" borderId="0" xfId="0" applyNumberFormat="1" applyFont="1" applyAlignment="1">
      <alignment/>
    </xf>
    <xf numFmtId="0" fontId="9" fillId="0" borderId="14" xfId="0" applyFont="1" applyBorder="1" applyAlignment="1">
      <alignment/>
    </xf>
    <xf numFmtId="0" fontId="10" fillId="0" borderId="14" xfId="0" applyFont="1" applyBorder="1" applyAlignment="1">
      <alignment horizontal="left"/>
    </xf>
    <xf numFmtId="49" fontId="10" fillId="0" borderId="14" xfId="0" applyNumberFormat="1" applyFont="1" applyBorder="1" applyAlignment="1">
      <alignment horizontal="left"/>
    </xf>
    <xf numFmtId="0" fontId="10" fillId="0" borderId="14" xfId="0" applyFont="1" applyBorder="1" applyAlignment="1">
      <alignment wrapText="1"/>
    </xf>
    <xf numFmtId="3" fontId="10" fillId="6" borderId="14" xfId="0" applyNumberFormat="1" applyFont="1" applyFill="1" applyBorder="1" applyAlignment="1">
      <alignment horizontal="right"/>
    </xf>
    <xf numFmtId="0" fontId="9" fillId="0" borderId="16" xfId="0" applyFont="1" applyBorder="1" applyAlignment="1">
      <alignment horizontal="right"/>
    </xf>
    <xf numFmtId="49" fontId="9" fillId="0" borderId="14" xfId="0" applyNumberFormat="1" applyFont="1" applyBorder="1" applyAlignment="1">
      <alignment horizontal="left"/>
    </xf>
    <xf numFmtId="49" fontId="9" fillId="0" borderId="14" xfId="0" applyNumberFormat="1" applyFont="1" applyBorder="1" applyAlignment="1">
      <alignment horizontal="right"/>
    </xf>
    <xf numFmtId="3" fontId="9" fillId="0" borderId="14" xfId="0" applyNumberFormat="1" applyFont="1" applyFill="1" applyBorder="1" applyAlignment="1">
      <alignment horizontal="right"/>
    </xf>
    <xf numFmtId="49" fontId="9" fillId="0" borderId="14" xfId="0" applyNumberFormat="1" applyFont="1" applyFill="1" applyBorder="1" applyAlignment="1">
      <alignment horizontal="right"/>
    </xf>
    <xf numFmtId="0" fontId="9" fillId="0" borderId="14" xfId="0" applyFont="1" applyBorder="1" applyAlignment="1">
      <alignment wrapText="1"/>
    </xf>
    <xf numFmtId="0" fontId="9" fillId="0" borderId="16" xfId="0" applyFont="1" applyFill="1" applyBorder="1" applyAlignment="1">
      <alignment horizontal="right" wrapText="1"/>
    </xf>
    <xf numFmtId="49" fontId="9" fillId="0" borderId="14" xfId="0" applyNumberFormat="1" applyFont="1" applyFill="1" applyBorder="1" applyAlignment="1">
      <alignment horizontal="left"/>
    </xf>
    <xf numFmtId="3" fontId="10" fillId="6" borderId="14" xfId="0" applyNumberFormat="1" applyFont="1" applyFill="1" applyBorder="1" applyAlignment="1">
      <alignment/>
    </xf>
    <xf numFmtId="0" fontId="9" fillId="0" borderId="14" xfId="0" applyFont="1" applyBorder="1" applyAlignment="1">
      <alignment horizontal="right" wrapText="1"/>
    </xf>
    <xf numFmtId="3" fontId="39" fillId="0" borderId="14" xfId="0" applyNumberFormat="1" applyFont="1" applyFill="1" applyBorder="1" applyAlignment="1">
      <alignment/>
    </xf>
    <xf numFmtId="0" fontId="9" fillId="0" borderId="14" xfId="0" applyFont="1" applyFill="1" applyBorder="1" applyAlignment="1">
      <alignment horizontal="right" wrapText="1"/>
    </xf>
    <xf numFmtId="0" fontId="9" fillId="0" borderId="14" xfId="0" applyFont="1" applyBorder="1" applyAlignment="1">
      <alignment horizontal="justify"/>
    </xf>
    <xf numFmtId="0" fontId="9" fillId="0" borderId="19" xfId="0" applyFont="1" applyFill="1" applyBorder="1" applyAlignment="1">
      <alignment horizontal="right" wrapText="1"/>
    </xf>
    <xf numFmtId="0" fontId="9" fillId="0" borderId="16" xfId="0" applyFont="1" applyBorder="1" applyAlignment="1">
      <alignment horizontal="right" wrapText="1"/>
    </xf>
    <xf numFmtId="0" fontId="9" fillId="0" borderId="14" xfId="0" applyFont="1" applyBorder="1" applyAlignment="1">
      <alignment horizontal="justify" vertical="center"/>
    </xf>
    <xf numFmtId="0" fontId="10" fillId="0" borderId="14" xfId="0" applyFont="1" applyBorder="1" applyAlignment="1">
      <alignment horizontal="left" wrapText="1"/>
    </xf>
    <xf numFmtId="49" fontId="10" fillId="0" borderId="14" xfId="0" applyNumberFormat="1" applyFont="1" applyBorder="1" applyAlignment="1">
      <alignment/>
    </xf>
    <xf numFmtId="49" fontId="9" fillId="0" borderId="14" xfId="0" applyNumberFormat="1" applyFont="1" applyBorder="1" applyAlignment="1">
      <alignment/>
    </xf>
    <xf numFmtId="0" fontId="10" fillId="0" borderId="14" xfId="0" applyFont="1" applyBorder="1" applyAlignment="1">
      <alignment/>
    </xf>
    <xf numFmtId="3" fontId="10" fillId="0" borderId="14" xfId="0" applyNumberFormat="1" applyFont="1" applyBorder="1" applyAlignment="1">
      <alignment/>
    </xf>
    <xf numFmtId="49" fontId="9" fillId="0" borderId="14" xfId="0" applyNumberFormat="1" applyFont="1" applyFill="1" applyBorder="1" applyAlignment="1">
      <alignment/>
    </xf>
    <xf numFmtId="0" fontId="9" fillId="0" borderId="16" xfId="0" applyNumberFormat="1" applyFont="1" applyFill="1" applyBorder="1" applyAlignment="1">
      <alignment horizontal="left" wrapText="1"/>
    </xf>
    <xf numFmtId="0" fontId="10" fillId="0" borderId="14" xfId="0" applyFont="1" applyBorder="1" applyAlignment="1">
      <alignment horizontal="right"/>
    </xf>
    <xf numFmtId="0" fontId="40" fillId="0" borderId="14" xfId="0" applyFont="1" applyFill="1" applyBorder="1" applyAlignment="1">
      <alignment horizontal="right"/>
    </xf>
    <xf numFmtId="49" fontId="40" fillId="0" borderId="14" xfId="0" applyNumberFormat="1" applyFont="1" applyFill="1" applyBorder="1" applyAlignment="1">
      <alignment/>
    </xf>
    <xf numFmtId="2" fontId="40" fillId="0" borderId="14" xfId="0" applyNumberFormat="1" applyFont="1" applyFill="1" applyBorder="1" applyAlignment="1">
      <alignment wrapText="1"/>
    </xf>
    <xf numFmtId="0" fontId="9" fillId="0" borderId="14" xfId="0" applyFont="1" applyFill="1" applyBorder="1" applyAlignment="1">
      <alignment horizontal="left"/>
    </xf>
    <xf numFmtId="0" fontId="40" fillId="0" borderId="14" xfId="0" applyFont="1" applyBorder="1" applyAlignment="1">
      <alignment horizontal="right"/>
    </xf>
    <xf numFmtId="0" fontId="40" fillId="0" borderId="0" xfId="0" applyFont="1" applyAlignment="1">
      <alignment/>
    </xf>
    <xf numFmtId="0" fontId="9" fillId="0" borderId="14" xfId="0" applyFont="1" applyBorder="1" applyAlignment="1">
      <alignment horizontal="right"/>
    </xf>
    <xf numFmtId="0" fontId="10" fillId="0" borderId="14" xfId="0" applyFont="1" applyBorder="1" applyAlignment="1">
      <alignment horizontal="right" wrapText="1"/>
    </xf>
    <xf numFmtId="3" fontId="10" fillId="0" borderId="14" xfId="0" applyNumberFormat="1" applyFont="1" applyBorder="1" applyAlignment="1">
      <alignment horizontal="right"/>
    </xf>
    <xf numFmtId="0" fontId="9" fillId="0" borderId="14" xfId="0" applyFont="1" applyFill="1" applyBorder="1" applyAlignment="1">
      <alignment horizontal="right"/>
    </xf>
    <xf numFmtId="0" fontId="9" fillId="0" borderId="0" xfId="0" applyFont="1" applyFill="1" applyAlignment="1">
      <alignment horizontal="right"/>
    </xf>
    <xf numFmtId="0" fontId="10" fillId="0" borderId="14" xfId="0" applyFont="1" applyFill="1" applyBorder="1" applyAlignment="1">
      <alignment horizontal="right" wrapText="1"/>
    </xf>
    <xf numFmtId="0" fontId="10" fillId="0" borderId="0" xfId="0" applyFont="1" applyAlignment="1">
      <alignment/>
    </xf>
    <xf numFmtId="3" fontId="10" fillId="0" borderId="0" xfId="0" applyNumberFormat="1" applyFont="1" applyAlignment="1">
      <alignment/>
    </xf>
    <xf numFmtId="0" fontId="31" fillId="0" borderId="14" xfId="0" applyFont="1" applyBorder="1" applyAlignment="1">
      <alignment horizontal="center"/>
    </xf>
    <xf numFmtId="49" fontId="31" fillId="0" borderId="14" xfId="0" applyNumberFormat="1" applyFont="1" applyBorder="1" applyAlignment="1">
      <alignment horizontal="center" wrapText="1"/>
    </xf>
    <xf numFmtId="3" fontId="31" fillId="0" borderId="14" xfId="0" applyNumberFormat="1" applyFont="1" applyBorder="1" applyAlignment="1">
      <alignment horizontal="center"/>
    </xf>
    <xf numFmtId="49" fontId="31" fillId="0" borderId="14" xfId="0" applyNumberFormat="1" applyFont="1" applyBorder="1" applyAlignment="1">
      <alignment horizontal="center"/>
    </xf>
    <xf numFmtId="3" fontId="39" fillId="0" borderId="14" xfId="0" applyNumberFormat="1" applyFont="1" applyFill="1" applyBorder="1" applyAlignment="1">
      <alignment horizontal="right"/>
    </xf>
    <xf numFmtId="0" fontId="5" fillId="0" borderId="0" xfId="0" applyFont="1" applyFill="1" applyBorder="1" applyAlignment="1" applyProtection="1">
      <alignment/>
      <protection/>
    </xf>
    <xf numFmtId="0" fontId="41" fillId="0" borderId="0" xfId="0" applyFont="1" applyAlignment="1">
      <alignment wrapText="1"/>
    </xf>
    <xf numFmtId="0" fontId="9" fillId="0" borderId="14" xfId="0" applyFont="1" applyBorder="1" applyAlignment="1">
      <alignment horizontal="left"/>
    </xf>
    <xf numFmtId="0" fontId="41" fillId="0" borderId="14" xfId="0" applyFont="1" applyBorder="1" applyAlignment="1">
      <alignment/>
    </xf>
    <xf numFmtId="49" fontId="41" fillId="0" borderId="14" xfId="0" applyNumberFormat="1" applyFont="1" applyBorder="1" applyAlignment="1">
      <alignment horizontal="right"/>
    </xf>
    <xf numFmtId="0" fontId="9" fillId="0" borderId="14" xfId="0" applyFont="1" applyBorder="1" applyAlignment="1">
      <alignment wrapText="1"/>
    </xf>
    <xf numFmtId="49" fontId="41" fillId="0" borderId="14" xfId="0" applyNumberFormat="1" applyFont="1" applyBorder="1" applyAlignment="1">
      <alignment horizontal="left"/>
    </xf>
    <xf numFmtId="0" fontId="2" fillId="0" borderId="0" xfId="0" applyFont="1" applyFill="1" applyBorder="1" applyAlignment="1">
      <alignment horizontal="right" wrapText="1"/>
    </xf>
    <xf numFmtId="3" fontId="0" fillId="0" borderId="14" xfId="0" applyNumberFormat="1" applyFont="1" applyBorder="1" applyAlignment="1">
      <alignment/>
    </xf>
    <xf numFmtId="3" fontId="34" fillId="0" borderId="14" xfId="0" applyNumberFormat="1" applyFont="1" applyFill="1" applyBorder="1" applyAlignment="1">
      <alignment/>
    </xf>
    <xf numFmtId="3" fontId="9" fillId="0" borderId="14" xfId="0" applyNumberFormat="1" applyFont="1" applyFill="1" applyBorder="1" applyAlignment="1">
      <alignment/>
    </xf>
    <xf numFmtId="0" fontId="10" fillId="0" borderId="16" xfId="0" applyFont="1" applyBorder="1" applyAlignment="1">
      <alignment wrapText="1"/>
    </xf>
    <xf numFmtId="3" fontId="39" fillId="0" borderId="14" xfId="0" applyNumberFormat="1" applyFont="1" applyFill="1" applyBorder="1" applyAlignment="1">
      <alignment/>
    </xf>
    <xf numFmtId="0" fontId="9" fillId="0" borderId="14" xfId="0" applyFont="1" applyFill="1" applyBorder="1" applyAlignment="1">
      <alignment horizontal="right" wrapText="1"/>
    </xf>
    <xf numFmtId="3" fontId="10" fillId="0" borderId="23" xfId="0" applyNumberFormat="1" applyFont="1" applyFill="1" applyBorder="1" applyAlignment="1">
      <alignment/>
    </xf>
    <xf numFmtId="200" fontId="9" fillId="0" borderId="0" xfId="0" applyNumberFormat="1" applyFont="1" applyFill="1" applyAlignment="1">
      <alignment/>
    </xf>
    <xf numFmtId="1" fontId="9" fillId="0" borderId="26" xfId="0" applyNumberFormat="1" applyFont="1" applyFill="1" applyBorder="1" applyAlignment="1">
      <alignment/>
    </xf>
    <xf numFmtId="3" fontId="10" fillId="0" borderId="24" xfId="0" applyNumberFormat="1" applyFont="1" applyFill="1" applyBorder="1" applyAlignment="1">
      <alignment horizontal="center"/>
    </xf>
    <xf numFmtId="3" fontId="9" fillId="0" borderId="19" xfId="0" applyNumberFormat="1" applyFont="1" applyFill="1" applyBorder="1" applyAlignment="1" applyProtection="1">
      <alignment/>
      <protection/>
    </xf>
    <xf numFmtId="0" fontId="9" fillId="0" borderId="16" xfId="51" applyFont="1" applyFill="1" applyBorder="1" applyAlignment="1">
      <alignment horizontal="left" wrapText="1"/>
      <protection/>
    </xf>
    <xf numFmtId="0" fontId="9" fillId="0" borderId="23" xfId="51" applyFont="1" applyFill="1" applyBorder="1" applyAlignment="1">
      <alignment horizontal="left" wrapText="1"/>
      <protection/>
    </xf>
    <xf numFmtId="0" fontId="9" fillId="0" borderId="14" xfId="51" applyFont="1" applyFill="1" applyBorder="1" applyAlignment="1">
      <alignment horizontal="left" vertical="center" wrapText="1"/>
      <protection/>
    </xf>
    <xf numFmtId="0" fontId="9" fillId="0" borderId="14" xfId="51" applyFont="1" applyFill="1" applyBorder="1" applyAlignment="1">
      <alignment horizontal="left" wrapText="1"/>
      <protection/>
    </xf>
    <xf numFmtId="4" fontId="10" fillId="0" borderId="0" xfId="0" applyNumberFormat="1" applyFont="1" applyFill="1" applyBorder="1" applyAlignment="1">
      <alignment/>
    </xf>
    <xf numFmtId="3" fontId="9" fillId="0" borderId="29" xfId="0" applyNumberFormat="1" applyFont="1" applyFill="1" applyBorder="1" applyAlignment="1">
      <alignment/>
    </xf>
    <xf numFmtId="3" fontId="2" fillId="0" borderId="29" xfId="0" applyNumberFormat="1" applyFont="1" applyFill="1" applyBorder="1" applyAlignment="1">
      <alignment/>
    </xf>
    <xf numFmtId="0" fontId="0" fillId="0" borderId="0" xfId="0" applyFont="1" applyAlignment="1">
      <alignment horizontal="centerContinuous"/>
    </xf>
    <xf numFmtId="0" fontId="1" fillId="0" borderId="0" xfId="0" applyFont="1" applyAlignment="1">
      <alignment horizontal="centerContinuous"/>
    </xf>
    <xf numFmtId="0" fontId="1" fillId="0" borderId="24" xfId="0" applyFont="1" applyBorder="1" applyAlignment="1">
      <alignment/>
    </xf>
    <xf numFmtId="0" fontId="1" fillId="0" borderId="11" xfId="0" applyFont="1" applyBorder="1" applyAlignment="1">
      <alignment/>
    </xf>
    <xf numFmtId="0" fontId="0" fillId="0" borderId="45" xfId="0" applyFont="1" applyBorder="1" applyAlignment="1">
      <alignment/>
    </xf>
    <xf numFmtId="1" fontId="5" fillId="0" borderId="43" xfId="0" applyNumberFormat="1" applyFont="1" applyBorder="1" applyAlignment="1">
      <alignment/>
    </xf>
    <xf numFmtId="0" fontId="0" fillId="0" borderId="46" xfId="0" applyFont="1" applyBorder="1" applyAlignment="1">
      <alignment/>
    </xf>
    <xf numFmtId="0" fontId="4" fillId="0" borderId="16" xfId="0" applyFont="1" applyBorder="1" applyAlignment="1">
      <alignment/>
    </xf>
    <xf numFmtId="1" fontId="5" fillId="0" borderId="47" xfId="0" applyNumberFormat="1" applyFont="1" applyBorder="1" applyAlignment="1">
      <alignment/>
    </xf>
    <xf numFmtId="0" fontId="0" fillId="0" borderId="10" xfId="0" applyFont="1" applyBorder="1" applyAlignment="1">
      <alignment wrapText="1"/>
    </xf>
    <xf numFmtId="0" fontId="5" fillId="0" borderId="13" xfId="0" applyFont="1" applyBorder="1" applyAlignment="1">
      <alignment/>
    </xf>
    <xf numFmtId="0" fontId="0" fillId="0" borderId="0" xfId="0" applyFont="1" applyBorder="1" applyAlignment="1">
      <alignment wrapText="1"/>
    </xf>
    <xf numFmtId="0" fontId="1" fillId="0" borderId="13" xfId="0" applyFont="1" applyBorder="1" applyAlignment="1">
      <alignment/>
    </xf>
    <xf numFmtId="0" fontId="1" fillId="0" borderId="13" xfId="0" applyFont="1" applyBorder="1" applyAlignment="1">
      <alignment horizontal="center" wrapText="1"/>
    </xf>
    <xf numFmtId="0" fontId="1" fillId="0" borderId="24" xfId="0" applyFont="1" applyBorder="1" applyAlignment="1">
      <alignment wrapText="1"/>
    </xf>
    <xf numFmtId="0" fontId="1" fillId="0" borderId="13" xfId="0" applyFont="1" applyBorder="1" applyAlignment="1">
      <alignment wrapText="1"/>
    </xf>
    <xf numFmtId="0" fontId="1" fillId="0" borderId="32" xfId="0" applyFont="1" applyFill="1" applyBorder="1" applyAlignment="1">
      <alignment wrapText="1"/>
    </xf>
    <xf numFmtId="0" fontId="5" fillId="0" borderId="0" xfId="0" applyFont="1" applyBorder="1" applyAlignment="1">
      <alignment/>
    </xf>
    <xf numFmtId="0" fontId="10" fillId="0" borderId="29" xfId="0" applyFont="1" applyBorder="1" applyAlignment="1">
      <alignment/>
    </xf>
    <xf numFmtId="0" fontId="0" fillId="0" borderId="48" xfId="0" applyFont="1" applyBorder="1" applyAlignment="1">
      <alignment/>
    </xf>
    <xf numFmtId="1" fontId="4" fillId="0" borderId="40" xfId="0" applyNumberFormat="1" applyFont="1" applyBorder="1" applyAlignment="1">
      <alignment/>
    </xf>
    <xf numFmtId="1" fontId="5" fillId="0" borderId="41" xfId="0" applyNumberFormat="1" applyFont="1" applyBorder="1" applyAlignment="1">
      <alignment/>
    </xf>
    <xf numFmtId="1" fontId="4" fillId="0" borderId="32" xfId="0" applyNumberFormat="1" applyFont="1" applyFill="1" applyBorder="1" applyAlignment="1">
      <alignment/>
    </xf>
    <xf numFmtId="0" fontId="0" fillId="0" borderId="36" xfId="0" applyFont="1" applyBorder="1" applyAlignment="1">
      <alignment/>
    </xf>
    <xf numFmtId="1" fontId="5" fillId="0" borderId="40" xfId="0" applyNumberFormat="1" applyFont="1" applyBorder="1" applyAlignment="1">
      <alignment/>
    </xf>
    <xf numFmtId="1" fontId="5" fillId="0" borderId="49" xfId="0" applyNumberFormat="1" applyFont="1" applyBorder="1" applyAlignment="1">
      <alignment/>
    </xf>
    <xf numFmtId="1" fontId="4" fillId="0" borderId="0" xfId="0" applyNumberFormat="1" applyFont="1" applyFill="1" applyBorder="1" applyAlignment="1">
      <alignment/>
    </xf>
    <xf numFmtId="1" fontId="0" fillId="0" borderId="16" xfId="0" applyNumberFormat="1" applyFont="1" applyBorder="1" applyAlignment="1">
      <alignment/>
    </xf>
    <xf numFmtId="1" fontId="42" fillId="0" borderId="16" xfId="0" applyNumberFormat="1" applyFont="1" applyFill="1" applyBorder="1" applyAlignment="1">
      <alignment/>
    </xf>
    <xf numFmtId="49" fontId="10" fillId="0" borderId="14" xfId="0" applyNumberFormat="1" applyFont="1" applyFill="1" applyBorder="1" applyAlignment="1">
      <alignment horizontal="left"/>
    </xf>
    <xf numFmtId="0" fontId="9" fillId="0" borderId="16" xfId="51" applyFont="1" applyFill="1" applyBorder="1" applyAlignment="1">
      <alignment horizontal="right" wrapText="1"/>
      <protection/>
    </xf>
    <xf numFmtId="3" fontId="9" fillId="0" borderId="0" xfId="0" applyNumberFormat="1" applyFont="1" applyBorder="1" applyAlignment="1">
      <alignment/>
    </xf>
    <xf numFmtId="3" fontId="9" fillId="24" borderId="21" xfId="0" applyNumberFormat="1" applyFont="1" applyFill="1" applyBorder="1" applyAlignment="1">
      <alignment/>
    </xf>
    <xf numFmtId="3" fontId="10" fillId="0" borderId="32" xfId="0" applyNumberFormat="1" applyFont="1" applyFill="1" applyBorder="1" applyAlignment="1">
      <alignment/>
    </xf>
    <xf numFmtId="3" fontId="10" fillId="0" borderId="31" xfId="0" applyNumberFormat="1" applyFont="1" applyFill="1" applyBorder="1" applyAlignment="1">
      <alignment/>
    </xf>
    <xf numFmtId="0" fontId="9" fillId="0" borderId="31" xfId="51" applyFont="1" applyFill="1" applyBorder="1" applyAlignment="1">
      <alignment horizontal="left" wrapText="1"/>
      <protection/>
    </xf>
    <xf numFmtId="200" fontId="9" fillId="0" borderId="32" xfId="0" applyNumberFormat="1" applyFont="1" applyFill="1" applyBorder="1" applyAlignment="1">
      <alignment/>
    </xf>
    <xf numFmtId="0" fontId="9" fillId="0" borderId="0" xfId="0" applyFont="1" applyAlignment="1">
      <alignment wrapText="1"/>
    </xf>
    <xf numFmtId="0" fontId="9" fillId="0" borderId="21" xfId="51" applyFont="1" applyFill="1" applyBorder="1" applyAlignment="1">
      <alignment horizontal="left" wrapText="1"/>
      <protection/>
    </xf>
    <xf numFmtId="3" fontId="9" fillId="0" borderId="0" xfId="0" applyNumberFormat="1" applyFont="1" applyFill="1" applyBorder="1" applyAlignment="1">
      <alignment horizontal="right"/>
    </xf>
    <xf numFmtId="3" fontId="10" fillId="0" borderId="0" xfId="0" applyNumberFormat="1" applyFont="1" applyFill="1" applyBorder="1" applyAlignment="1" applyProtection="1">
      <alignment horizontal="right"/>
      <protection/>
    </xf>
    <xf numFmtId="49" fontId="9" fillId="0" borderId="20" xfId="0" applyNumberFormat="1" applyFont="1" applyFill="1" applyBorder="1" applyAlignment="1">
      <alignment horizontal="left"/>
    </xf>
    <xf numFmtId="0" fontId="9" fillId="0" borderId="14" xfId="51" applyFont="1" applyFill="1" applyBorder="1" applyAlignment="1">
      <alignment horizontal="right" wrapText="1"/>
      <protection/>
    </xf>
    <xf numFmtId="3" fontId="34" fillId="0" borderId="14" xfId="0" applyNumberFormat="1" applyFont="1" applyFill="1" applyBorder="1" applyAlignment="1">
      <alignment/>
    </xf>
    <xf numFmtId="3" fontId="44" fillId="0" borderId="14" xfId="0" applyNumberFormat="1" applyFont="1" applyFill="1" applyBorder="1" applyAlignment="1">
      <alignment/>
    </xf>
    <xf numFmtId="0" fontId="2" fillId="0" borderId="16" xfId="0" applyFont="1" applyBorder="1" applyAlignment="1">
      <alignment horizontal="right" wrapText="1"/>
    </xf>
    <xf numFmtId="49" fontId="41" fillId="0" borderId="14" xfId="0" applyNumberFormat="1" applyFont="1" applyFill="1" applyBorder="1" applyAlignment="1">
      <alignment horizontal="left"/>
    </xf>
    <xf numFmtId="0" fontId="9" fillId="0" borderId="31" xfId="51" applyFont="1" applyFill="1" applyBorder="1" applyAlignment="1">
      <alignment horizontal="right" wrapText="1"/>
      <protection/>
    </xf>
    <xf numFmtId="49" fontId="45" fillId="0" borderId="14" xfId="0" applyNumberFormat="1" applyFont="1" applyBorder="1" applyAlignment="1">
      <alignment horizontal="right"/>
    </xf>
    <xf numFmtId="3" fontId="2" fillId="0" borderId="0" xfId="0" applyNumberFormat="1" applyFont="1" applyFill="1" applyAlignment="1">
      <alignment horizontal="right" wrapText="1"/>
    </xf>
    <xf numFmtId="0" fontId="9" fillId="0" borderId="19" xfId="51" applyFont="1" applyFill="1" applyBorder="1" applyAlignment="1">
      <alignment horizontal="left" wrapText="1"/>
      <protection/>
    </xf>
    <xf numFmtId="3" fontId="2" fillId="0" borderId="42" xfId="0" applyNumberFormat="1" applyFont="1" applyFill="1" applyBorder="1" applyAlignment="1">
      <alignment/>
    </xf>
    <xf numFmtId="3" fontId="2" fillId="0" borderId="22" xfId="0" applyNumberFormat="1" applyFont="1" applyFill="1" applyBorder="1" applyAlignment="1">
      <alignment/>
    </xf>
    <xf numFmtId="3" fontId="2" fillId="0" borderId="30" xfId="0" applyNumberFormat="1" applyFont="1" applyFill="1" applyBorder="1" applyAlignment="1">
      <alignment/>
    </xf>
    <xf numFmtId="0" fontId="9" fillId="0" borderId="20" xfId="0" applyFont="1" applyFill="1" applyBorder="1" applyAlignment="1">
      <alignment horizontal="left" vertical="top" wrapText="1"/>
    </xf>
    <xf numFmtId="3" fontId="30" fillId="24" borderId="14" xfId="0" applyNumberFormat="1" applyFont="1" applyFill="1" applyBorder="1" applyAlignment="1">
      <alignment/>
    </xf>
    <xf numFmtId="0" fontId="0" fillId="24" borderId="14" xfId="0" applyFill="1" applyBorder="1" applyAlignment="1">
      <alignment/>
    </xf>
    <xf numFmtId="3" fontId="10" fillId="0" borderId="50" xfId="0" applyNumberFormat="1" applyFont="1" applyFill="1" applyBorder="1" applyAlignment="1">
      <alignment/>
    </xf>
    <xf numFmtId="3" fontId="9" fillId="24" borderId="16" xfId="0" applyNumberFormat="1" applyFont="1" applyFill="1" applyBorder="1" applyAlignment="1">
      <alignment/>
    </xf>
    <xf numFmtId="0" fontId="9" fillId="24" borderId="14" xfId="0" applyFont="1" applyFill="1" applyBorder="1" applyAlignment="1">
      <alignment wrapText="1"/>
    </xf>
    <xf numFmtId="0" fontId="9" fillId="24" borderId="14" xfId="0" applyFont="1" applyFill="1" applyBorder="1" applyAlignment="1">
      <alignment horizontal="justify"/>
    </xf>
    <xf numFmtId="0" fontId="9" fillId="24" borderId="16" xfId="0" applyFont="1" applyFill="1" applyBorder="1" applyAlignment="1">
      <alignment horizontal="right" wrapText="1"/>
    </xf>
    <xf numFmtId="0" fontId="0" fillId="0" borderId="50" xfId="0" applyBorder="1" applyAlignment="1">
      <alignment/>
    </xf>
    <xf numFmtId="0" fontId="43" fillId="0" borderId="14" xfId="0" applyFont="1" applyBorder="1" applyAlignment="1">
      <alignment horizontal="center" wrapText="1"/>
    </xf>
    <xf numFmtId="49" fontId="9" fillId="0" borderId="0" xfId="0" applyNumberFormat="1" applyFont="1" applyFill="1" applyBorder="1" applyAlignment="1">
      <alignment horizontal="right"/>
    </xf>
    <xf numFmtId="3" fontId="9" fillId="0" borderId="0" xfId="0" applyNumberFormat="1" applyFont="1" applyFill="1" applyAlignment="1">
      <alignment horizontal="left"/>
    </xf>
    <xf numFmtId="3" fontId="10" fillId="0" borderId="18" xfId="0" applyNumberFormat="1" applyFont="1" applyFill="1" applyBorder="1" applyAlignment="1">
      <alignment/>
    </xf>
    <xf numFmtId="3" fontId="10" fillId="0" borderId="51" xfId="0" applyNumberFormat="1" applyFont="1" applyFill="1" applyBorder="1" applyAlignment="1">
      <alignment/>
    </xf>
    <xf numFmtId="3" fontId="10" fillId="0" borderId="52" xfId="0" applyNumberFormat="1" applyFont="1" applyFill="1" applyBorder="1" applyAlignment="1">
      <alignment/>
    </xf>
    <xf numFmtId="0" fontId="31" fillId="0" borderId="0" xfId="0" applyFont="1" applyBorder="1" applyAlignment="1">
      <alignment wrapText="1"/>
    </xf>
    <xf numFmtId="3" fontId="10" fillId="0" borderId="26" xfId="0" applyNumberFormat="1" applyFont="1" applyFill="1" applyBorder="1" applyAlignment="1">
      <alignment/>
    </xf>
    <xf numFmtId="3" fontId="10" fillId="0" borderId="22" xfId="0" applyNumberFormat="1" applyFont="1" applyFill="1" applyBorder="1" applyAlignment="1">
      <alignment/>
    </xf>
    <xf numFmtId="1" fontId="2" fillId="0" borderId="31" xfId="0" applyNumberFormat="1" applyFont="1" applyFill="1" applyBorder="1" applyAlignment="1">
      <alignment/>
    </xf>
    <xf numFmtId="1" fontId="9" fillId="0" borderId="53" xfId="0" applyNumberFormat="1" applyFont="1" applyFill="1" applyBorder="1" applyAlignment="1">
      <alignment/>
    </xf>
    <xf numFmtId="2" fontId="9" fillId="0" borderId="0" xfId="0" applyNumberFormat="1" applyFont="1" applyFill="1" applyAlignment="1">
      <alignment/>
    </xf>
    <xf numFmtId="3" fontId="10" fillId="24" borderId="24" xfId="0" applyNumberFormat="1" applyFont="1" applyFill="1" applyBorder="1" applyAlignment="1">
      <alignment/>
    </xf>
    <xf numFmtId="3" fontId="10" fillId="24" borderId="25" xfId="0" applyNumberFormat="1" applyFont="1" applyFill="1" applyBorder="1" applyAlignment="1">
      <alignment/>
    </xf>
    <xf numFmtId="3" fontId="10" fillId="0" borderId="54" xfId="0" applyNumberFormat="1" applyFont="1" applyFill="1" applyBorder="1" applyAlignment="1">
      <alignment/>
    </xf>
    <xf numFmtId="3" fontId="10" fillId="24" borderId="21" xfId="0" applyNumberFormat="1" applyFont="1" applyFill="1" applyBorder="1" applyAlignment="1">
      <alignment/>
    </xf>
    <xf numFmtId="3" fontId="10" fillId="0" borderId="55" xfId="0" applyNumberFormat="1" applyFont="1" applyFill="1" applyBorder="1" applyAlignment="1">
      <alignment/>
    </xf>
    <xf numFmtId="3" fontId="9" fillId="24" borderId="23" xfId="0" applyNumberFormat="1" applyFont="1" applyFill="1" applyBorder="1" applyAlignment="1">
      <alignment/>
    </xf>
    <xf numFmtId="3" fontId="10" fillId="0" borderId="56" xfId="0" applyNumberFormat="1" applyFont="1" applyFill="1" applyBorder="1" applyAlignment="1">
      <alignment/>
    </xf>
    <xf numFmtId="3" fontId="9" fillId="24" borderId="25" xfId="0" applyNumberFormat="1" applyFont="1" applyFill="1" applyBorder="1" applyAlignment="1">
      <alignment/>
    </xf>
    <xf numFmtId="3" fontId="9" fillId="24" borderId="32" xfId="0" applyNumberFormat="1" applyFont="1" applyFill="1" applyBorder="1" applyAlignment="1">
      <alignment/>
    </xf>
    <xf numFmtId="3" fontId="10" fillId="24" borderId="16" xfId="0" applyNumberFormat="1" applyFont="1" applyFill="1" applyBorder="1" applyAlignment="1">
      <alignment/>
    </xf>
    <xf numFmtId="3" fontId="9" fillId="0" borderId="52" xfId="0" applyNumberFormat="1" applyFont="1" applyFill="1" applyBorder="1" applyAlignment="1">
      <alignment/>
    </xf>
    <xf numFmtId="3" fontId="9" fillId="0" borderId="55" xfId="0" applyNumberFormat="1" applyFont="1" applyFill="1" applyBorder="1" applyAlignment="1">
      <alignment/>
    </xf>
    <xf numFmtId="3" fontId="10" fillId="0" borderId="57" xfId="0" applyNumberFormat="1" applyFont="1" applyFill="1" applyBorder="1" applyAlignment="1">
      <alignment/>
    </xf>
    <xf numFmtId="0" fontId="9" fillId="24" borderId="25" xfId="0" applyFont="1" applyFill="1" applyBorder="1" applyAlignment="1">
      <alignment/>
    </xf>
    <xf numFmtId="49" fontId="9" fillId="24" borderId="20" xfId="0" applyNumberFormat="1" applyFont="1" applyFill="1" applyBorder="1" applyAlignment="1">
      <alignment horizontal="right"/>
    </xf>
    <xf numFmtId="0" fontId="9" fillId="24" borderId="14" xfId="0" applyFont="1" applyFill="1" applyBorder="1" applyAlignment="1">
      <alignment horizontal="left" wrapText="1"/>
    </xf>
    <xf numFmtId="0" fontId="9" fillId="24" borderId="21" xfId="0" applyFont="1" applyFill="1" applyBorder="1" applyAlignment="1">
      <alignment/>
    </xf>
    <xf numFmtId="0" fontId="9" fillId="24" borderId="19" xfId="0" applyFont="1" applyFill="1" applyBorder="1" applyAlignment="1">
      <alignment horizontal="left" wrapText="1"/>
    </xf>
    <xf numFmtId="0" fontId="9" fillId="0" borderId="31" xfId="0" applyFont="1" applyFill="1" applyBorder="1" applyAlignment="1">
      <alignment horizontal="left" wrapText="1"/>
    </xf>
    <xf numFmtId="0" fontId="9" fillId="24" borderId="32" xfId="0" applyFont="1" applyFill="1" applyBorder="1" applyAlignment="1">
      <alignment/>
    </xf>
    <xf numFmtId="0" fontId="9" fillId="0" borderId="31" xfId="0" applyFont="1" applyFill="1" applyBorder="1" applyAlignment="1">
      <alignment wrapText="1"/>
    </xf>
    <xf numFmtId="1" fontId="9" fillId="0" borderId="32" xfId="0" applyNumberFormat="1" applyFont="1" applyFill="1" applyBorder="1" applyAlignment="1">
      <alignment/>
    </xf>
    <xf numFmtId="3" fontId="10" fillId="24" borderId="14" xfId="0" applyNumberFormat="1" applyFont="1" applyFill="1" applyBorder="1" applyAlignment="1">
      <alignment/>
    </xf>
    <xf numFmtId="0" fontId="9" fillId="0" borderId="14" xfId="0" applyFont="1" applyFill="1" applyBorder="1" applyAlignment="1">
      <alignment horizontal="center" wrapText="1"/>
    </xf>
    <xf numFmtId="0" fontId="10" fillId="0" borderId="0" xfId="0" applyFont="1" applyBorder="1" applyAlignment="1">
      <alignment wrapText="1"/>
    </xf>
    <xf numFmtId="3" fontId="10" fillId="24" borderId="13" xfId="0" applyNumberFormat="1" applyFont="1" applyFill="1" applyBorder="1" applyAlignment="1">
      <alignment/>
    </xf>
    <xf numFmtId="3" fontId="10" fillId="24" borderId="38" xfId="0" applyNumberFormat="1" applyFont="1" applyFill="1" applyBorder="1" applyAlignment="1">
      <alignment/>
    </xf>
    <xf numFmtId="3" fontId="10" fillId="0" borderId="37" xfId="0" applyNumberFormat="1" applyFont="1" applyFill="1" applyBorder="1" applyAlignment="1">
      <alignment/>
    </xf>
    <xf numFmtId="3" fontId="10" fillId="0" borderId="58" xfId="0" applyNumberFormat="1" applyFont="1" applyFill="1" applyBorder="1" applyAlignment="1">
      <alignment/>
    </xf>
    <xf numFmtId="3" fontId="10" fillId="24" borderId="0" xfId="0" applyNumberFormat="1" applyFont="1" applyFill="1" applyAlignment="1">
      <alignment/>
    </xf>
    <xf numFmtId="3" fontId="10" fillId="24" borderId="0" xfId="0" applyNumberFormat="1" applyFont="1" applyFill="1" applyBorder="1" applyAlignment="1">
      <alignment/>
    </xf>
    <xf numFmtId="0" fontId="10" fillId="24" borderId="0" xfId="0" applyFont="1" applyFill="1" applyAlignment="1">
      <alignment/>
    </xf>
    <xf numFmtId="3" fontId="2" fillId="0" borderId="0" xfId="0" applyNumberFormat="1" applyFont="1" applyFill="1" applyBorder="1" applyAlignment="1">
      <alignment/>
    </xf>
    <xf numFmtId="3" fontId="9" fillId="24" borderId="0" xfId="0" applyNumberFormat="1" applyFont="1" applyFill="1" applyBorder="1" applyAlignment="1">
      <alignment/>
    </xf>
    <xf numFmtId="0" fontId="10" fillId="0" borderId="57" xfId="0" applyFont="1" applyFill="1" applyBorder="1" applyAlignment="1">
      <alignment/>
    </xf>
    <xf numFmtId="0" fontId="10" fillId="0" borderId="55" xfId="0" applyFont="1" applyFill="1" applyBorder="1" applyAlignment="1">
      <alignment/>
    </xf>
    <xf numFmtId="0" fontId="10" fillId="0" borderId="18" xfId="0" applyFont="1" applyFill="1" applyBorder="1" applyAlignment="1">
      <alignment/>
    </xf>
    <xf numFmtId="0" fontId="10" fillId="0" borderId="14" xfId="0" applyFont="1" applyFill="1" applyBorder="1" applyAlignment="1">
      <alignment horizontal="right"/>
    </xf>
    <xf numFmtId="3" fontId="31" fillId="0" borderId="0" xfId="0" applyNumberFormat="1" applyFont="1" applyAlignment="1">
      <alignment/>
    </xf>
    <xf numFmtId="0" fontId="10" fillId="0" borderId="0" xfId="0" applyFont="1" applyBorder="1" applyAlignment="1">
      <alignment/>
    </xf>
    <xf numFmtId="0" fontId="10" fillId="0" borderId="33" xfId="0" applyFont="1" applyBorder="1" applyAlignment="1">
      <alignment/>
    </xf>
    <xf numFmtId="1" fontId="10" fillId="0" borderId="33" xfId="0" applyNumberFormat="1" applyFont="1" applyBorder="1" applyAlignment="1">
      <alignment/>
    </xf>
    <xf numFmtId="0" fontId="46" fillId="0" borderId="33" xfId="0" applyFont="1" applyBorder="1" applyAlignment="1">
      <alignment/>
    </xf>
    <xf numFmtId="0" fontId="46" fillId="0" borderId="29" xfId="0" applyFont="1" applyBorder="1" applyAlignment="1">
      <alignment/>
    </xf>
    <xf numFmtId="3" fontId="10" fillId="0" borderId="29" xfId="0" applyNumberFormat="1" applyFont="1" applyBorder="1" applyAlignment="1">
      <alignment/>
    </xf>
    <xf numFmtId="3" fontId="10" fillId="0" borderId="33" xfId="0" applyNumberFormat="1" applyFont="1" applyBorder="1" applyAlignment="1">
      <alignment/>
    </xf>
    <xf numFmtId="0" fontId="30" fillId="0" borderId="16" xfId="51" applyFont="1" applyFill="1" applyBorder="1" applyAlignment="1">
      <alignment horizontal="right" wrapText="1"/>
      <protection/>
    </xf>
    <xf numFmtId="0" fontId="9" fillId="0" borderId="21" xfId="0" applyFont="1" applyBorder="1" applyAlignment="1">
      <alignment/>
    </xf>
    <xf numFmtId="3" fontId="10" fillId="0" borderId="34" xfId="0" applyNumberFormat="1" applyFont="1" applyFill="1" applyBorder="1" applyAlignment="1">
      <alignment/>
    </xf>
    <xf numFmtId="49" fontId="10" fillId="0" borderId="48" xfId="0" applyNumberFormat="1" applyFont="1" applyFill="1" applyBorder="1" applyAlignment="1">
      <alignment horizontal="right"/>
    </xf>
    <xf numFmtId="0" fontId="10" fillId="0" borderId="0" xfId="50" applyFont="1" applyFill="1" applyBorder="1" applyAlignment="1" applyProtection="1">
      <alignment horizontal="center" vertical="center" wrapText="1"/>
      <protection/>
    </xf>
    <xf numFmtId="0" fontId="10" fillId="0" borderId="0" xfId="0" applyFont="1" applyFill="1" applyBorder="1" applyAlignment="1">
      <alignment/>
    </xf>
    <xf numFmtId="0" fontId="9" fillId="0" borderId="14" xfId="0" applyFont="1" applyBorder="1" applyAlignment="1">
      <alignment horizontal="center" wrapText="1"/>
    </xf>
    <xf numFmtId="0" fontId="47" fillId="0" borderId="0" xfId="0" applyFont="1" applyAlignment="1">
      <alignment/>
    </xf>
    <xf numFmtId="0" fontId="0" fillId="0" borderId="19" xfId="0" applyFont="1" applyBorder="1" applyAlignment="1">
      <alignment/>
    </xf>
    <xf numFmtId="0" fontId="43" fillId="0" borderId="19" xfId="0" applyFont="1" applyBorder="1" applyAlignment="1">
      <alignment horizontal="center" wrapText="1"/>
    </xf>
    <xf numFmtId="0" fontId="2" fillId="0" borderId="0" xfId="0" applyFont="1" applyAlignment="1">
      <alignment wrapText="1"/>
    </xf>
    <xf numFmtId="49" fontId="2" fillId="0" borderId="0" xfId="0" applyNumberFormat="1" applyFont="1" applyAlignment="1">
      <alignment/>
    </xf>
    <xf numFmtId="3" fontId="46" fillId="0" borderId="0" xfId="0" applyNumberFormat="1" applyFont="1" applyAlignment="1">
      <alignment horizontal="right"/>
    </xf>
    <xf numFmtId="3" fontId="46" fillId="0" borderId="0" xfId="0" applyNumberFormat="1" applyFont="1" applyFill="1" applyBorder="1" applyAlignment="1">
      <alignment horizontal="right"/>
    </xf>
    <xf numFmtId="49" fontId="30" fillId="0" borderId="0" xfId="0" applyNumberFormat="1" applyFont="1" applyAlignment="1">
      <alignment/>
    </xf>
    <xf numFmtId="3" fontId="9" fillId="25" borderId="14" xfId="0" applyNumberFormat="1" applyFont="1" applyFill="1" applyBorder="1" applyAlignment="1">
      <alignment/>
    </xf>
    <xf numFmtId="0" fontId="9" fillId="25" borderId="14" xfId="0" applyFont="1" applyFill="1" applyBorder="1" applyAlignment="1">
      <alignment wrapText="1"/>
    </xf>
    <xf numFmtId="0" fontId="30" fillId="0" borderId="0" xfId="0" applyFont="1" applyFill="1" applyBorder="1" applyAlignment="1">
      <alignment wrapText="1"/>
    </xf>
    <xf numFmtId="3" fontId="30" fillId="0" borderId="0" xfId="0" applyNumberFormat="1" applyFont="1" applyFill="1" applyBorder="1" applyAlignment="1">
      <alignment horizontal="right"/>
    </xf>
    <xf numFmtId="0" fontId="2" fillId="0" borderId="0" xfId="0" applyFont="1" applyFill="1" applyBorder="1" applyAlignment="1">
      <alignment horizontal="left" wrapText="1"/>
    </xf>
    <xf numFmtId="3" fontId="30" fillId="25" borderId="14" xfId="0" applyNumberFormat="1" applyFont="1" applyFill="1" applyBorder="1" applyAlignment="1">
      <alignment/>
    </xf>
    <xf numFmtId="3" fontId="9" fillId="25" borderId="0" xfId="0" applyNumberFormat="1" applyFont="1" applyFill="1" applyAlignment="1">
      <alignment/>
    </xf>
    <xf numFmtId="3" fontId="30" fillId="0" borderId="0" xfId="0" applyNumberFormat="1" applyFont="1" applyFill="1" applyBorder="1" applyAlignment="1">
      <alignment/>
    </xf>
    <xf numFmtId="3" fontId="1" fillId="0" borderId="14" xfId="0" applyNumberFormat="1" applyFont="1" applyBorder="1" applyAlignment="1">
      <alignment/>
    </xf>
    <xf numFmtId="0" fontId="9" fillId="0" borderId="44" xfId="0" applyFont="1" applyBorder="1" applyAlignment="1">
      <alignment wrapText="1"/>
    </xf>
    <xf numFmtId="0" fontId="9" fillId="0" borderId="14" xfId="0" applyFont="1" applyFill="1" applyBorder="1" applyAlignment="1">
      <alignment horizontal="justify"/>
    </xf>
    <xf numFmtId="3" fontId="39" fillId="25" borderId="14" xfId="0" applyNumberFormat="1" applyFont="1" applyFill="1" applyBorder="1" applyAlignment="1">
      <alignment/>
    </xf>
    <xf numFmtId="0" fontId="10" fillId="0" borderId="16" xfId="0" applyFont="1" applyBorder="1" applyAlignment="1">
      <alignment horizontal="left" wrapText="1"/>
    </xf>
    <xf numFmtId="0" fontId="9" fillId="0" borderId="23" xfId="51" applyFont="1" applyFill="1" applyBorder="1" applyAlignment="1">
      <alignment horizontal="right" wrapText="1"/>
      <protection/>
    </xf>
    <xf numFmtId="202" fontId="9" fillId="0" borderId="0" xfId="0" applyNumberFormat="1" applyFont="1" applyAlignment="1">
      <alignment horizontal="left"/>
    </xf>
    <xf numFmtId="0" fontId="9" fillId="25" borderId="14" xfId="0" applyFont="1" applyFill="1" applyBorder="1" applyAlignment="1">
      <alignment horizontal="left" wrapText="1"/>
    </xf>
    <xf numFmtId="3" fontId="9" fillId="0" borderId="14" xfId="0" applyNumberFormat="1" applyFont="1" applyFill="1" applyBorder="1" applyAlignment="1">
      <alignment horizontal="left" wrapText="1"/>
    </xf>
    <xf numFmtId="0" fontId="9" fillId="0" borderId="22" xfId="0" applyFont="1" applyBorder="1" applyAlignment="1">
      <alignment wrapText="1"/>
    </xf>
    <xf numFmtId="0" fontId="9" fillId="0" borderId="22" xfId="0" applyFont="1" applyFill="1" applyBorder="1" applyAlignment="1">
      <alignment wrapText="1"/>
    </xf>
    <xf numFmtId="0" fontId="31" fillId="0" borderId="14" xfId="0" applyFont="1" applyFill="1" applyBorder="1" applyAlignment="1">
      <alignment horizontal="center" vertical="center" wrapText="1"/>
    </xf>
    <xf numFmtId="3" fontId="10" fillId="0" borderId="0" xfId="0" applyNumberFormat="1" applyFont="1" applyBorder="1" applyAlignment="1" applyProtection="1">
      <alignment horizontal="right"/>
      <protection/>
    </xf>
    <xf numFmtId="0" fontId="9" fillId="0" borderId="19" xfId="0" applyFont="1" applyBorder="1" applyAlignment="1">
      <alignment horizontal="right"/>
    </xf>
    <xf numFmtId="49" fontId="9" fillId="0" borderId="27" xfId="0" applyNumberFormat="1" applyFont="1" applyFill="1" applyBorder="1" applyAlignment="1">
      <alignment horizontal="right"/>
    </xf>
    <xf numFmtId="0" fontId="10" fillId="0" borderId="0" xfId="0" applyFont="1" applyFill="1" applyBorder="1" applyAlignment="1" applyProtection="1">
      <alignment horizontal="right" wrapText="1"/>
      <protection/>
    </xf>
    <xf numFmtId="0" fontId="9" fillId="0" borderId="0" xfId="0" applyFont="1" applyFill="1" applyBorder="1" applyAlignment="1">
      <alignment horizontal="left" wrapText="1"/>
    </xf>
    <xf numFmtId="3" fontId="10" fillId="0" borderId="14" xfId="0" applyNumberFormat="1" applyFont="1" applyFill="1" applyBorder="1" applyAlignment="1">
      <alignment/>
    </xf>
    <xf numFmtId="0" fontId="24" fillId="0" borderId="0" xfId="0" applyFont="1" applyFill="1" applyAlignment="1">
      <alignment/>
    </xf>
    <xf numFmtId="0" fontId="2" fillId="0" borderId="0" xfId="0" applyFont="1" applyFill="1" applyAlignment="1">
      <alignment/>
    </xf>
    <xf numFmtId="0" fontId="36" fillId="0" borderId="0" xfId="0" applyFont="1" applyFill="1" applyAlignment="1">
      <alignment horizontal="center"/>
    </xf>
    <xf numFmtId="0" fontId="36" fillId="0" borderId="59" xfId="0" applyFont="1" applyFill="1" applyBorder="1" applyAlignment="1">
      <alignment horizontal="center" wrapText="1"/>
    </xf>
    <xf numFmtId="0" fontId="9" fillId="0" borderId="0" xfId="54" applyFont="1" applyFill="1" applyAlignment="1">
      <alignment horizontal="right"/>
      <protection/>
    </xf>
    <xf numFmtId="0" fontId="9" fillId="0" borderId="0" xfId="0" applyFont="1" applyFill="1" applyAlignment="1">
      <alignment horizontal="right"/>
    </xf>
    <xf numFmtId="0" fontId="36" fillId="0" borderId="59" xfId="0" applyFont="1" applyFill="1" applyBorder="1" applyAlignment="1">
      <alignment horizontal="center" vertical="center" wrapText="1"/>
    </xf>
    <xf numFmtId="0" fontId="37" fillId="0" borderId="0" xfId="0" applyFont="1" applyAlignment="1">
      <alignment horizontal="center" wrapText="1"/>
    </xf>
    <xf numFmtId="0" fontId="29" fillId="0" borderId="0" xfId="0" applyFont="1" applyAlignment="1" applyProtection="1">
      <alignment horizontal="center" wrapText="1"/>
      <protection/>
    </xf>
    <xf numFmtId="0" fontId="29" fillId="0" borderId="50" xfId="0" applyFont="1" applyBorder="1" applyAlignment="1">
      <alignment horizontal="center"/>
    </xf>
    <xf numFmtId="0" fontId="31" fillId="0" borderId="14" xfId="0" applyFont="1" applyBorder="1" applyAlignment="1">
      <alignment horizontal="center" vertical="center"/>
    </xf>
    <xf numFmtId="0" fontId="10" fillId="0" borderId="14" xfId="0" applyFont="1" applyBorder="1" applyAlignment="1">
      <alignment horizontal="right"/>
    </xf>
    <xf numFmtId="0" fontId="9" fillId="0" borderId="14" xfId="0" applyFont="1" applyBorder="1" applyAlignment="1">
      <alignment horizontal="left" wrapText="1"/>
    </xf>
    <xf numFmtId="0" fontId="3" fillId="0" borderId="0" xfId="0" applyFont="1" applyAlignment="1">
      <alignment horizontal="center" wrapText="1"/>
    </xf>
  </cellXfs>
  <cellStyles count="55">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rmal_2009.g plāns apst" xfId="50"/>
    <cellStyle name="Normal_PROJEKTI_2016_PLĀNS_Aija un Inese" xfId="51"/>
    <cellStyle name="Normal_Sheet1" xfId="52"/>
    <cellStyle name="Normal_Sheet1_Pielikumi oktobra korekcijam" xfId="53"/>
    <cellStyle name="Normal_Specbudz.kopsavilkums 2006.g un korekc." xfId="54"/>
    <cellStyle name="Nosaukums" xfId="55"/>
    <cellStyle name="Parasts 2" xfId="56"/>
    <cellStyle name="Paskaidrojošs teksts" xfId="57"/>
    <cellStyle name="Pārbaudes šūna" xfId="58"/>
    <cellStyle name="Piezīme" xfId="59"/>
    <cellStyle name="Percent" xfId="60"/>
    <cellStyle name="Saistīta šūna" xfId="61"/>
    <cellStyle name="Slikts" xfId="62"/>
    <cellStyle name="Currency" xfId="63"/>
    <cellStyle name="Currency [0]" xfId="64"/>
    <cellStyle name="Virsraksts 1" xfId="65"/>
    <cellStyle name="Virsraksts 2" xfId="66"/>
    <cellStyle name="Virsraksts 3" xfId="67"/>
    <cellStyle name="Virsraksts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263"/>
  <sheetViews>
    <sheetView tabSelected="1" zoomScale="94" zoomScaleNormal="94" zoomScalePageLayoutView="0" workbookViewId="0" topLeftCell="A1">
      <pane xSplit="2" ySplit="6" topLeftCell="C225" activePane="bottomRight" state="frozen"/>
      <selection pane="topLeft" activeCell="A1" sqref="A1"/>
      <selection pane="topRight" activeCell="D1" sqref="D1"/>
      <selection pane="bottomLeft" activeCell="A8" sqref="A8"/>
      <selection pane="bottomRight" activeCell="A2" sqref="A2"/>
    </sheetView>
  </sheetViews>
  <sheetFormatPr defaultColWidth="9.140625" defaultRowHeight="12.75"/>
  <cols>
    <col min="1" max="1" width="14.00390625" style="94" customWidth="1"/>
    <col min="2" max="2" width="41.00390625" style="95" customWidth="1"/>
    <col min="3" max="3" width="13.28125" style="110" customWidth="1"/>
    <col min="4" max="4" width="11.00390625" style="96" customWidth="1"/>
    <col min="5" max="5" width="11.00390625" style="94" customWidth="1"/>
    <col min="6" max="6" width="9.421875" style="94" customWidth="1"/>
    <col min="7" max="7" width="11.00390625" style="94" customWidth="1"/>
    <col min="8" max="8" width="9.57421875" style="94" customWidth="1"/>
    <col min="9" max="9" width="10.00390625" style="94" customWidth="1"/>
    <col min="10" max="10" width="10.7109375" style="94" customWidth="1"/>
    <col min="11" max="11" width="10.00390625" style="94" customWidth="1"/>
    <col min="12" max="12" width="9.7109375" style="94" customWidth="1"/>
    <col min="13" max="13" width="10.421875" style="94" customWidth="1"/>
    <col min="14" max="14" width="10.28125" style="94" customWidth="1"/>
    <col min="15" max="15" width="13.00390625" style="98" customWidth="1"/>
    <col min="16" max="16" width="10.8515625" style="98" customWidth="1"/>
    <col min="17" max="17" width="10.28125" style="98" customWidth="1"/>
    <col min="18" max="18" width="7.7109375" style="94" bestFit="1" customWidth="1"/>
    <col min="19" max="20" width="9.140625" style="94" customWidth="1"/>
    <col min="21" max="21" width="11.7109375" style="94" customWidth="1"/>
    <col min="22" max="16384" width="9.140625" style="94" customWidth="1"/>
  </cols>
  <sheetData>
    <row r="1" spans="6:15" ht="15">
      <c r="F1" s="97"/>
      <c r="L1" s="493" t="s">
        <v>26</v>
      </c>
      <c r="M1" s="493"/>
      <c r="N1" s="493"/>
      <c r="O1" s="493"/>
    </row>
    <row r="2" spans="1:15" ht="15">
      <c r="A2" s="99"/>
      <c r="F2" s="99"/>
      <c r="L2" s="494" t="s">
        <v>27</v>
      </c>
      <c r="M2" s="494"/>
      <c r="N2" s="494"/>
      <c r="O2" s="494"/>
    </row>
    <row r="3" spans="1:15" ht="15">
      <c r="A3" s="99"/>
      <c r="F3" s="99"/>
      <c r="L3" s="494" t="s">
        <v>716</v>
      </c>
      <c r="M3" s="494"/>
      <c r="N3" s="494"/>
      <c r="O3" s="494"/>
    </row>
    <row r="4" spans="1:4" ht="20.25">
      <c r="A4" s="491" t="s">
        <v>482</v>
      </c>
      <c r="B4" s="491"/>
      <c r="C4" s="491"/>
      <c r="D4" s="491"/>
    </row>
    <row r="5" spans="1:13" ht="15.75" thickBot="1">
      <c r="A5" s="99"/>
      <c r="B5" s="100"/>
      <c r="C5" s="392"/>
      <c r="M5" s="101"/>
    </row>
    <row r="6" spans="1:18" ht="102.75" customHeight="1" thickBot="1">
      <c r="A6" s="102" t="s">
        <v>24</v>
      </c>
      <c r="B6" s="103" t="s">
        <v>170</v>
      </c>
      <c r="C6" s="229" t="s">
        <v>483</v>
      </c>
      <c r="D6" s="230" t="s">
        <v>484</v>
      </c>
      <c r="E6" s="104" t="s">
        <v>485</v>
      </c>
      <c r="F6" s="104" t="s">
        <v>486</v>
      </c>
      <c r="G6" s="105" t="s">
        <v>487</v>
      </c>
      <c r="H6" s="105" t="s">
        <v>488</v>
      </c>
      <c r="I6" s="105" t="s">
        <v>489</v>
      </c>
      <c r="J6" s="105" t="s">
        <v>490</v>
      </c>
      <c r="K6" s="105" t="s">
        <v>491</v>
      </c>
      <c r="L6" s="105" t="s">
        <v>492</v>
      </c>
      <c r="M6" s="105" t="s">
        <v>493</v>
      </c>
      <c r="N6" s="231" t="s">
        <v>494</v>
      </c>
      <c r="O6" s="106" t="s">
        <v>495</v>
      </c>
      <c r="P6" s="164"/>
      <c r="Q6" s="164"/>
      <c r="R6" s="164"/>
    </row>
    <row r="7" spans="1:18" ht="15.75" thickBot="1">
      <c r="A7" s="107"/>
      <c r="B7" s="108" t="s">
        <v>40</v>
      </c>
      <c r="C7" s="109">
        <f>C8+C11+C16</f>
        <v>23968597</v>
      </c>
      <c r="D7" s="109">
        <f aca="true" t="shared" si="0" ref="D7:N7">D8+D11+D16</f>
        <v>0</v>
      </c>
      <c r="E7" s="109">
        <f t="shared" si="0"/>
        <v>0</v>
      </c>
      <c r="F7" s="128">
        <f t="shared" si="0"/>
        <v>0</v>
      </c>
      <c r="G7" s="109">
        <f t="shared" si="0"/>
        <v>101800</v>
      </c>
      <c r="H7" s="109">
        <f>H8+H11+H16</f>
        <v>45203</v>
      </c>
      <c r="I7" s="109">
        <f>I8+I11+I16</f>
        <v>42900</v>
      </c>
      <c r="J7" s="109">
        <f t="shared" si="0"/>
        <v>91300</v>
      </c>
      <c r="K7" s="109">
        <f t="shared" si="0"/>
        <v>44000</v>
      </c>
      <c r="L7" s="109">
        <f t="shared" si="0"/>
        <v>38800</v>
      </c>
      <c r="M7" s="109">
        <f t="shared" si="0"/>
        <v>39302</v>
      </c>
      <c r="N7" s="109">
        <f t="shared" si="0"/>
        <v>52728</v>
      </c>
      <c r="O7" s="393">
        <f>SUM(C7:N7)</f>
        <v>24424630</v>
      </c>
      <c r="P7" s="60"/>
      <c r="Q7" s="60"/>
      <c r="R7" s="316"/>
    </row>
    <row r="8" spans="1:18" ht="15">
      <c r="A8" s="111" t="s">
        <v>41</v>
      </c>
      <c r="B8" s="112" t="s">
        <v>171</v>
      </c>
      <c r="C8" s="113">
        <f aca="true" t="shared" si="1" ref="C8:N8">SUM(C9:C10)</f>
        <v>22277885</v>
      </c>
      <c r="D8" s="113">
        <f t="shared" si="1"/>
        <v>0</v>
      </c>
      <c r="E8" s="113">
        <f t="shared" si="1"/>
        <v>0</v>
      </c>
      <c r="F8" s="129">
        <f t="shared" si="1"/>
        <v>0</v>
      </c>
      <c r="G8" s="113">
        <f t="shared" si="1"/>
        <v>0</v>
      </c>
      <c r="H8" s="113">
        <f t="shared" si="1"/>
        <v>0</v>
      </c>
      <c r="I8" s="113">
        <f t="shared" si="1"/>
        <v>0</v>
      </c>
      <c r="J8" s="113">
        <f t="shared" si="1"/>
        <v>0</v>
      </c>
      <c r="K8" s="113">
        <f t="shared" si="1"/>
        <v>0</v>
      </c>
      <c r="L8" s="113">
        <f t="shared" si="1"/>
        <v>0</v>
      </c>
      <c r="M8" s="113">
        <f t="shared" si="1"/>
        <v>0</v>
      </c>
      <c r="N8" s="113">
        <f t="shared" si="1"/>
        <v>0</v>
      </c>
      <c r="O8" s="394">
        <f aca="true" t="shared" si="2" ref="O8:O46">SUM(C8:N8)</f>
        <v>22277885</v>
      </c>
      <c r="P8" s="47"/>
      <c r="Q8" s="60"/>
      <c r="R8" s="316"/>
    </row>
    <row r="9" spans="1:18" ht="45">
      <c r="A9" s="114" t="s">
        <v>42</v>
      </c>
      <c r="B9" s="115" t="s">
        <v>172</v>
      </c>
      <c r="C9" s="38"/>
      <c r="D9" s="38"/>
      <c r="E9" s="38"/>
      <c r="F9" s="116"/>
      <c r="G9" s="38"/>
      <c r="H9" s="38"/>
      <c r="I9" s="38"/>
      <c r="J9" s="38"/>
      <c r="K9" s="38"/>
      <c r="L9" s="38"/>
      <c r="M9" s="38"/>
      <c r="N9" s="38"/>
      <c r="O9" s="394">
        <f t="shared" si="2"/>
        <v>0</v>
      </c>
      <c r="P9" s="47"/>
      <c r="Q9" s="60"/>
      <c r="R9" s="316"/>
    </row>
    <row r="10" spans="1:18" ht="30">
      <c r="A10" s="114" t="s">
        <v>43</v>
      </c>
      <c r="B10" s="115" t="s">
        <v>173</v>
      </c>
      <c r="C10" s="38">
        <v>22277885</v>
      </c>
      <c r="D10" s="38"/>
      <c r="E10" s="118"/>
      <c r="F10" s="116"/>
      <c r="G10" s="38"/>
      <c r="H10" s="38"/>
      <c r="I10" s="38"/>
      <c r="J10" s="38"/>
      <c r="K10" s="38"/>
      <c r="L10" s="38"/>
      <c r="M10" s="38"/>
      <c r="N10" s="38"/>
      <c r="O10" s="394">
        <f>SUM(C10:N10)</f>
        <v>22277885</v>
      </c>
      <c r="P10" s="47"/>
      <c r="Q10" s="60"/>
      <c r="R10" s="316"/>
    </row>
    <row r="11" spans="1:18" ht="15">
      <c r="A11" s="119" t="s">
        <v>174</v>
      </c>
      <c r="B11" s="115" t="s">
        <v>175</v>
      </c>
      <c r="C11" s="38">
        <f>C12</f>
        <v>1620712</v>
      </c>
      <c r="D11" s="38"/>
      <c r="E11" s="38"/>
      <c r="F11" s="116"/>
      <c r="G11" s="38">
        <f>G12</f>
        <v>101800</v>
      </c>
      <c r="H11" s="117">
        <f aca="true" t="shared" si="3" ref="H11:N11">H12</f>
        <v>45203</v>
      </c>
      <c r="I11" s="117">
        <f t="shared" si="3"/>
        <v>42900</v>
      </c>
      <c r="J11" s="117">
        <f t="shared" si="3"/>
        <v>91300</v>
      </c>
      <c r="K11" s="117">
        <f t="shared" si="3"/>
        <v>44000</v>
      </c>
      <c r="L11" s="117">
        <f t="shared" si="3"/>
        <v>38800</v>
      </c>
      <c r="M11" s="117">
        <f t="shared" si="3"/>
        <v>39302</v>
      </c>
      <c r="N11" s="117">
        <f t="shared" si="3"/>
        <v>52728</v>
      </c>
      <c r="O11" s="394">
        <f t="shared" si="2"/>
        <v>2076745</v>
      </c>
      <c r="P11" s="47"/>
      <c r="Q11" s="60"/>
      <c r="R11" s="316"/>
    </row>
    <row r="12" spans="1:18" ht="15">
      <c r="A12" s="119" t="s">
        <v>44</v>
      </c>
      <c r="B12" s="115" t="s">
        <v>45</v>
      </c>
      <c r="C12" s="38">
        <f>SUM(C13:C15)</f>
        <v>1620712</v>
      </c>
      <c r="D12" s="38"/>
      <c r="E12" s="38"/>
      <c r="F12" s="116"/>
      <c r="G12" s="38">
        <f>SUM(G13:G15)</f>
        <v>101800</v>
      </c>
      <c r="H12" s="38">
        <f aca="true" t="shared" si="4" ref="H12:N12">SUM(H13:H15)</f>
        <v>45203</v>
      </c>
      <c r="I12" s="38">
        <f t="shared" si="4"/>
        <v>42900</v>
      </c>
      <c r="J12" s="38">
        <f>SUM(J13:J15)</f>
        <v>91300</v>
      </c>
      <c r="K12" s="38">
        <f t="shared" si="4"/>
        <v>44000</v>
      </c>
      <c r="L12" s="38">
        <f t="shared" si="4"/>
        <v>38800</v>
      </c>
      <c r="M12" s="38">
        <f t="shared" si="4"/>
        <v>39302</v>
      </c>
      <c r="N12" s="38">
        <f t="shared" si="4"/>
        <v>52728</v>
      </c>
      <c r="O12" s="394">
        <f t="shared" si="2"/>
        <v>2076745</v>
      </c>
      <c r="P12" s="47"/>
      <c r="Q12" s="60"/>
      <c r="R12" s="316"/>
    </row>
    <row r="13" spans="1:18" ht="15">
      <c r="A13" s="114" t="s">
        <v>28</v>
      </c>
      <c r="B13" s="115" t="s">
        <v>46</v>
      </c>
      <c r="C13" s="117">
        <f>994347+190000-G13-H13-I13-J13-K13-L13-M13-N13</f>
        <v>768574</v>
      </c>
      <c r="D13" s="120"/>
      <c r="E13" s="120"/>
      <c r="F13" s="317"/>
      <c r="G13" s="232">
        <v>90500</v>
      </c>
      <c r="H13" s="120">
        <v>40357</v>
      </c>
      <c r="I13" s="120">
        <v>38000</v>
      </c>
      <c r="J13" s="120">
        <v>80607</v>
      </c>
      <c r="K13" s="120">
        <v>42000</v>
      </c>
      <c r="L13" s="121">
        <v>36254</v>
      </c>
      <c r="M13" s="121">
        <v>37827</v>
      </c>
      <c r="N13" s="120">
        <v>50228</v>
      </c>
      <c r="O13" s="394">
        <f t="shared" si="2"/>
        <v>1184347</v>
      </c>
      <c r="P13" s="47"/>
      <c r="Q13" s="60"/>
      <c r="R13" s="316"/>
    </row>
    <row r="14" spans="1:18" ht="15">
      <c r="A14" s="114" t="s">
        <v>29</v>
      </c>
      <c r="B14" s="115" t="s">
        <v>47</v>
      </c>
      <c r="C14" s="117">
        <f>474294+50000-G14-H14-I14-J14-K14-L14-M14-N14</f>
        <v>501291</v>
      </c>
      <c r="D14" s="120"/>
      <c r="E14" s="120"/>
      <c r="F14" s="317"/>
      <c r="G14" s="232">
        <v>4950</v>
      </c>
      <c r="H14" s="120">
        <v>2887</v>
      </c>
      <c r="I14" s="120">
        <v>2200</v>
      </c>
      <c r="J14" s="120">
        <v>5670</v>
      </c>
      <c r="K14" s="120">
        <v>2000</v>
      </c>
      <c r="L14" s="120">
        <v>2546</v>
      </c>
      <c r="M14" s="120">
        <v>250</v>
      </c>
      <c r="N14" s="120">
        <v>2500</v>
      </c>
      <c r="O14" s="394">
        <f t="shared" si="2"/>
        <v>524294</v>
      </c>
      <c r="P14" s="47"/>
      <c r="Q14" s="60"/>
      <c r="R14" s="316"/>
    </row>
    <row r="15" spans="1:18" ht="15">
      <c r="A15" s="114" t="s">
        <v>251</v>
      </c>
      <c r="B15" s="115" t="s">
        <v>252</v>
      </c>
      <c r="C15" s="117">
        <f>308104+60000-G15-H15-I15-J15-K15-L15-M15-N15</f>
        <v>350847</v>
      </c>
      <c r="D15" s="120"/>
      <c r="E15" s="120"/>
      <c r="F15" s="317"/>
      <c r="G15" s="232">
        <v>6350</v>
      </c>
      <c r="H15" s="120">
        <v>1959</v>
      </c>
      <c r="I15" s="120">
        <v>2700</v>
      </c>
      <c r="J15" s="120">
        <v>5023</v>
      </c>
      <c r="K15" s="120"/>
      <c r="L15" s="120"/>
      <c r="M15" s="120">
        <v>1225</v>
      </c>
      <c r="N15" s="120"/>
      <c r="O15" s="394">
        <f t="shared" si="2"/>
        <v>368104</v>
      </c>
      <c r="P15" s="47"/>
      <c r="Q15" s="60"/>
      <c r="R15" s="316"/>
    </row>
    <row r="16" spans="1:18" ht="15.75" thickBot="1">
      <c r="A16" s="122" t="s">
        <v>30</v>
      </c>
      <c r="B16" s="123" t="s">
        <v>48</v>
      </c>
      <c r="C16" s="124">
        <v>70000</v>
      </c>
      <c r="D16" s="124"/>
      <c r="E16" s="124"/>
      <c r="F16" s="125"/>
      <c r="G16" s="126"/>
      <c r="H16" s="126"/>
      <c r="I16" s="126"/>
      <c r="J16" s="127"/>
      <c r="K16" s="127"/>
      <c r="L16" s="127"/>
      <c r="M16" s="127"/>
      <c r="N16" s="233"/>
      <c r="O16" s="395">
        <f t="shared" si="2"/>
        <v>70000</v>
      </c>
      <c r="P16" s="47"/>
      <c r="Q16" s="60"/>
      <c r="R16" s="316"/>
    </row>
    <row r="17" spans="1:18" ht="15.75" thickBot="1">
      <c r="A17" s="107"/>
      <c r="B17" s="108" t="s">
        <v>49</v>
      </c>
      <c r="C17" s="109">
        <f>SUM(C18:C24)</f>
        <v>83900</v>
      </c>
      <c r="D17" s="109">
        <f aca="true" t="shared" si="5" ref="D17:N17">SUM(D18:D24)</f>
        <v>2400</v>
      </c>
      <c r="E17" s="109">
        <f t="shared" si="5"/>
        <v>0</v>
      </c>
      <c r="F17" s="128">
        <f t="shared" si="5"/>
        <v>0</v>
      </c>
      <c r="G17" s="109">
        <f t="shared" si="5"/>
        <v>3575</v>
      </c>
      <c r="H17" s="128">
        <f t="shared" si="5"/>
        <v>210</v>
      </c>
      <c r="I17" s="128">
        <f t="shared" si="5"/>
        <v>300</v>
      </c>
      <c r="J17" s="128">
        <f t="shared" si="5"/>
        <v>21948</v>
      </c>
      <c r="K17" s="128">
        <f t="shared" si="5"/>
        <v>7110</v>
      </c>
      <c r="L17" s="128">
        <f t="shared" si="5"/>
        <v>440</v>
      </c>
      <c r="M17" s="128">
        <f t="shared" si="5"/>
        <v>1000</v>
      </c>
      <c r="N17" s="128">
        <f t="shared" si="5"/>
        <v>130</v>
      </c>
      <c r="O17" s="393">
        <f t="shared" si="2"/>
        <v>121013</v>
      </c>
      <c r="P17" s="60"/>
      <c r="Q17" s="60"/>
      <c r="R17" s="316"/>
    </row>
    <row r="18" spans="1:18" ht="30">
      <c r="A18" s="111" t="s">
        <v>176</v>
      </c>
      <c r="B18" s="112" t="s">
        <v>177</v>
      </c>
      <c r="C18" s="113"/>
      <c r="D18" s="113"/>
      <c r="E18" s="113"/>
      <c r="F18" s="129"/>
      <c r="G18" s="131"/>
      <c r="H18" s="131"/>
      <c r="I18" s="132"/>
      <c r="J18" s="132">
        <v>50</v>
      </c>
      <c r="K18" s="132"/>
      <c r="L18" s="132"/>
      <c r="M18" s="132"/>
      <c r="N18" s="153"/>
      <c r="O18" s="394">
        <f t="shared" si="2"/>
        <v>50</v>
      </c>
      <c r="P18" s="47"/>
      <c r="Q18" s="60"/>
      <c r="R18" s="316"/>
    </row>
    <row r="19" spans="1:18" ht="30">
      <c r="A19" s="119" t="s">
        <v>50</v>
      </c>
      <c r="B19" s="115" t="s">
        <v>51</v>
      </c>
      <c r="C19" s="38">
        <v>12100</v>
      </c>
      <c r="D19" s="38"/>
      <c r="E19" s="38"/>
      <c r="F19" s="116"/>
      <c r="G19" s="134"/>
      <c r="H19" s="121">
        <v>150</v>
      </c>
      <c r="I19" s="133">
        <v>150</v>
      </c>
      <c r="J19" s="133">
        <v>2000</v>
      </c>
      <c r="K19" s="133">
        <v>40</v>
      </c>
      <c r="L19" s="133">
        <v>240</v>
      </c>
      <c r="M19" s="133">
        <v>400</v>
      </c>
      <c r="N19" s="136">
        <v>70</v>
      </c>
      <c r="O19" s="394">
        <f t="shared" si="2"/>
        <v>15150</v>
      </c>
      <c r="P19" s="47"/>
      <c r="Q19" s="60"/>
      <c r="R19" s="316"/>
    </row>
    <row r="20" spans="1:18" ht="15">
      <c r="A20" s="119" t="s">
        <v>32</v>
      </c>
      <c r="B20" s="115" t="s">
        <v>31</v>
      </c>
      <c r="C20" s="38">
        <v>15800</v>
      </c>
      <c r="D20" s="38">
        <v>2400</v>
      </c>
      <c r="E20" s="38"/>
      <c r="F20" s="116"/>
      <c r="G20" s="121">
        <v>3375</v>
      </c>
      <c r="H20" s="121">
        <v>60</v>
      </c>
      <c r="I20" s="133">
        <v>150</v>
      </c>
      <c r="J20" s="133">
        <v>2698</v>
      </c>
      <c r="K20" s="133"/>
      <c r="L20" s="133">
        <v>200</v>
      </c>
      <c r="M20" s="133">
        <v>100</v>
      </c>
      <c r="N20" s="136">
        <v>60</v>
      </c>
      <c r="O20" s="394">
        <f t="shared" si="2"/>
        <v>24843</v>
      </c>
      <c r="P20" s="47"/>
      <c r="Q20" s="60"/>
      <c r="R20" s="316"/>
    </row>
    <row r="21" spans="1:18" ht="15">
      <c r="A21" s="119" t="s">
        <v>496</v>
      </c>
      <c r="B21" s="115" t="s">
        <v>568</v>
      </c>
      <c r="C21" s="38"/>
      <c r="D21" s="38"/>
      <c r="E21" s="38"/>
      <c r="F21" s="116"/>
      <c r="G21" s="121"/>
      <c r="H21" s="121"/>
      <c r="I21" s="133"/>
      <c r="J21" s="133"/>
      <c r="K21" s="133"/>
      <c r="L21" s="133"/>
      <c r="M21" s="133"/>
      <c r="N21" s="136"/>
      <c r="O21" s="394">
        <f t="shared" si="2"/>
        <v>0</v>
      </c>
      <c r="P21" s="47"/>
      <c r="Q21" s="60"/>
      <c r="R21" s="316"/>
    </row>
    <row r="22" spans="1:18" ht="15">
      <c r="A22" s="119" t="s">
        <v>178</v>
      </c>
      <c r="B22" s="115" t="s">
        <v>179</v>
      </c>
      <c r="C22" s="38">
        <v>30000</v>
      </c>
      <c r="D22" s="38"/>
      <c r="E22" s="38"/>
      <c r="F22" s="116"/>
      <c r="G22" s="121">
        <v>200</v>
      </c>
      <c r="H22" s="121"/>
      <c r="I22" s="133"/>
      <c r="J22" s="133">
        <v>1400</v>
      </c>
      <c r="K22" s="133"/>
      <c r="L22" s="133"/>
      <c r="M22" s="133"/>
      <c r="N22" s="136"/>
      <c r="O22" s="394">
        <f t="shared" si="2"/>
        <v>31600</v>
      </c>
      <c r="P22" s="47"/>
      <c r="Q22" s="60"/>
      <c r="R22" s="316"/>
    </row>
    <row r="23" spans="1:18" ht="15">
      <c r="A23" s="119" t="s">
        <v>180</v>
      </c>
      <c r="B23" s="115" t="s">
        <v>52</v>
      </c>
      <c r="C23" s="38">
        <v>26000</v>
      </c>
      <c r="D23" s="38"/>
      <c r="E23" s="38"/>
      <c r="F23" s="116"/>
      <c r="G23" s="121"/>
      <c r="H23" s="134"/>
      <c r="I23" s="133"/>
      <c r="J23" s="133"/>
      <c r="K23" s="133">
        <v>7070</v>
      </c>
      <c r="L23" s="133"/>
      <c r="M23" s="133">
        <v>500</v>
      </c>
      <c r="N23" s="136"/>
      <c r="O23" s="394">
        <f t="shared" si="2"/>
        <v>33570</v>
      </c>
      <c r="P23" s="47"/>
      <c r="Q23" s="60"/>
      <c r="R23" s="316"/>
    </row>
    <row r="24" spans="1:18" ht="27.75" customHeight="1">
      <c r="A24" s="119" t="s">
        <v>161</v>
      </c>
      <c r="B24" s="115" t="s">
        <v>362</v>
      </c>
      <c r="C24" s="38"/>
      <c r="D24" s="38"/>
      <c r="E24" s="38"/>
      <c r="F24" s="116"/>
      <c r="G24" s="38"/>
      <c r="H24" s="116"/>
      <c r="I24" s="116"/>
      <c r="J24" s="133">
        <v>15800</v>
      </c>
      <c r="K24" s="116"/>
      <c r="L24" s="133"/>
      <c r="M24" s="116"/>
      <c r="N24" s="116"/>
      <c r="O24" s="394">
        <f t="shared" si="2"/>
        <v>15800</v>
      </c>
      <c r="P24" s="47"/>
      <c r="Q24" s="60"/>
      <c r="R24" s="316"/>
    </row>
    <row r="25" spans="1:18" ht="58.5" thickBot="1">
      <c r="A25" s="137" t="s">
        <v>372</v>
      </c>
      <c r="B25" s="216" t="s">
        <v>371</v>
      </c>
      <c r="C25" s="146"/>
      <c r="D25" s="146"/>
      <c r="E25" s="146"/>
      <c r="F25" s="147"/>
      <c r="G25" s="146"/>
      <c r="H25" s="147"/>
      <c r="I25" s="147"/>
      <c r="J25" s="188"/>
      <c r="K25" s="147"/>
      <c r="L25" s="188"/>
      <c r="M25" s="147"/>
      <c r="N25" s="147"/>
      <c r="O25" s="394">
        <f t="shared" si="2"/>
        <v>0</v>
      </c>
      <c r="P25" s="47"/>
      <c r="Q25" s="60"/>
      <c r="R25" s="316"/>
    </row>
    <row r="26" spans="1:18" ht="15.75" thickBot="1">
      <c r="A26" s="138" t="s">
        <v>53</v>
      </c>
      <c r="B26" s="108" t="s">
        <v>54</v>
      </c>
      <c r="C26" s="109">
        <f aca="true" t="shared" si="6" ref="C26:N26">SUM(C27:C27)</f>
        <v>9986792</v>
      </c>
      <c r="D26" s="109">
        <f t="shared" si="6"/>
        <v>0</v>
      </c>
      <c r="E26" s="109">
        <f t="shared" si="6"/>
        <v>0</v>
      </c>
      <c r="F26" s="128">
        <f t="shared" si="6"/>
        <v>0</v>
      </c>
      <c r="G26" s="109">
        <f t="shared" si="6"/>
        <v>0</v>
      </c>
      <c r="H26" s="109">
        <f t="shared" si="6"/>
        <v>0</v>
      </c>
      <c r="I26" s="109">
        <f t="shared" si="6"/>
        <v>0</v>
      </c>
      <c r="J26" s="109">
        <f t="shared" si="6"/>
        <v>48829</v>
      </c>
      <c r="K26" s="109">
        <f t="shared" si="6"/>
        <v>0</v>
      </c>
      <c r="L26" s="109">
        <f t="shared" si="6"/>
        <v>5592</v>
      </c>
      <c r="M26" s="109">
        <f t="shared" si="6"/>
        <v>0</v>
      </c>
      <c r="N26" s="109">
        <f t="shared" si="6"/>
        <v>0</v>
      </c>
      <c r="O26" s="393">
        <f t="shared" si="2"/>
        <v>10041213</v>
      </c>
      <c r="P26" s="60"/>
      <c r="Q26" s="60"/>
      <c r="R26" s="316"/>
    </row>
    <row r="27" spans="1:18" ht="15.75" customHeight="1" thickBot="1">
      <c r="A27" s="139" t="s">
        <v>247</v>
      </c>
      <c r="B27" s="140" t="s">
        <v>253</v>
      </c>
      <c r="C27" s="113">
        <f>6977814+1840325+1522354+12810-366511</f>
        <v>9986792</v>
      </c>
      <c r="D27" s="113"/>
      <c r="E27" s="113"/>
      <c r="F27" s="129"/>
      <c r="G27" s="113"/>
      <c r="H27" s="129"/>
      <c r="I27" s="129"/>
      <c r="J27" s="129">
        <v>48829</v>
      </c>
      <c r="K27" s="129"/>
      <c r="L27" s="129">
        <v>5592</v>
      </c>
      <c r="M27" s="129"/>
      <c r="N27" s="129"/>
      <c r="O27" s="394">
        <f t="shared" si="2"/>
        <v>10041213</v>
      </c>
      <c r="P27" s="47"/>
      <c r="Q27" s="60"/>
      <c r="R27" s="316"/>
    </row>
    <row r="28" spans="1:18" ht="15.75" thickBot="1">
      <c r="A28" s="138" t="s">
        <v>55</v>
      </c>
      <c r="B28" s="108" t="s">
        <v>56</v>
      </c>
      <c r="C28" s="128">
        <f>SUM(C29:C31)</f>
        <v>607252</v>
      </c>
      <c r="D28" s="128">
        <f aca="true" t="shared" si="7" ref="D28:N28">SUM(D29:D31)</f>
        <v>0</v>
      </c>
      <c r="E28" s="128">
        <f t="shared" si="7"/>
        <v>0</v>
      </c>
      <c r="F28" s="128">
        <f t="shared" si="7"/>
        <v>0</v>
      </c>
      <c r="G28" s="109">
        <f t="shared" si="7"/>
        <v>0</v>
      </c>
      <c r="H28" s="109">
        <f t="shared" si="7"/>
        <v>64030</v>
      </c>
      <c r="I28" s="109">
        <f t="shared" si="7"/>
        <v>0</v>
      </c>
      <c r="J28" s="109">
        <f t="shared" si="7"/>
        <v>55700</v>
      </c>
      <c r="K28" s="109">
        <f t="shared" si="7"/>
        <v>0</v>
      </c>
      <c r="L28" s="109">
        <f t="shared" si="7"/>
        <v>0</v>
      </c>
      <c r="M28" s="109">
        <f t="shared" si="7"/>
        <v>0</v>
      </c>
      <c r="N28" s="109">
        <f t="shared" si="7"/>
        <v>0</v>
      </c>
      <c r="O28" s="393">
        <f t="shared" si="2"/>
        <v>726982</v>
      </c>
      <c r="P28" s="60"/>
      <c r="Q28" s="60"/>
      <c r="R28" s="316"/>
    </row>
    <row r="29" spans="1:18" ht="30">
      <c r="A29" s="111" t="s">
        <v>181</v>
      </c>
      <c r="B29" s="112" t="s">
        <v>254</v>
      </c>
      <c r="C29" s="129"/>
      <c r="D29" s="129"/>
      <c r="E29" s="129"/>
      <c r="F29" s="129"/>
      <c r="G29" s="113"/>
      <c r="H29" s="129"/>
      <c r="I29" s="129"/>
      <c r="J29" s="129"/>
      <c r="K29" s="129"/>
      <c r="L29" s="129"/>
      <c r="M29" s="129"/>
      <c r="N29" s="129"/>
      <c r="O29" s="394">
        <f t="shared" si="2"/>
        <v>0</v>
      </c>
      <c r="P29" s="47"/>
      <c r="Q29" s="60"/>
      <c r="R29" s="316"/>
    </row>
    <row r="30" spans="1:18" ht="30">
      <c r="A30" s="119" t="s">
        <v>57</v>
      </c>
      <c r="B30" s="115" t="s">
        <v>255</v>
      </c>
      <c r="C30" s="116">
        <f>600000+7252</f>
        <v>607252</v>
      </c>
      <c r="D30" s="116"/>
      <c r="E30" s="116"/>
      <c r="F30" s="116"/>
      <c r="G30" s="38"/>
      <c r="H30" s="116">
        <v>64030</v>
      </c>
      <c r="I30" s="116"/>
      <c r="J30" s="116">
        <v>55700</v>
      </c>
      <c r="K30" s="116"/>
      <c r="L30" s="38"/>
      <c r="M30" s="116"/>
      <c r="N30" s="116"/>
      <c r="O30" s="394">
        <f t="shared" si="2"/>
        <v>726982</v>
      </c>
      <c r="P30" s="47"/>
      <c r="Q30" s="60"/>
      <c r="R30" s="316"/>
    </row>
    <row r="31" spans="1:18" ht="26.25" customHeight="1" thickBot="1">
      <c r="A31" s="122" t="s">
        <v>58</v>
      </c>
      <c r="B31" s="115" t="s">
        <v>497</v>
      </c>
      <c r="C31" s="124"/>
      <c r="D31" s="124"/>
      <c r="E31" s="124"/>
      <c r="F31" s="125"/>
      <c r="G31" s="234"/>
      <c r="H31" s="124"/>
      <c r="I31" s="385"/>
      <c r="J31" s="124"/>
      <c r="K31" s="125"/>
      <c r="L31" s="141"/>
      <c r="M31" s="235"/>
      <c r="N31" s="236"/>
      <c r="O31" s="395">
        <f t="shared" si="2"/>
        <v>0</v>
      </c>
      <c r="P31" s="47"/>
      <c r="Q31" s="60"/>
      <c r="R31" s="316"/>
    </row>
    <row r="32" spans="1:18" ht="15.75" thickBot="1">
      <c r="A32" s="138" t="s">
        <v>59</v>
      </c>
      <c r="B32" s="108" t="s">
        <v>60</v>
      </c>
      <c r="C32" s="128">
        <f>SUM(C33,C34,C40)</f>
        <v>360119</v>
      </c>
      <c r="D32" s="128">
        <f aca="true" t="shared" si="8" ref="D32:N32">SUM(D33,D34,D40)</f>
        <v>9711637</v>
      </c>
      <c r="E32" s="128">
        <f t="shared" si="8"/>
        <v>141710</v>
      </c>
      <c r="F32" s="128">
        <f t="shared" si="8"/>
        <v>249182</v>
      </c>
      <c r="G32" s="128">
        <f>SUM(G33,G34,G40)</f>
        <v>71953</v>
      </c>
      <c r="H32" s="128">
        <f t="shared" si="8"/>
        <v>94911</v>
      </c>
      <c r="I32" s="128">
        <f t="shared" si="8"/>
        <v>109168</v>
      </c>
      <c r="J32" s="128">
        <f t="shared" si="8"/>
        <v>601298</v>
      </c>
      <c r="K32" s="128">
        <f t="shared" si="8"/>
        <v>9700</v>
      </c>
      <c r="L32" s="128">
        <f t="shared" si="8"/>
        <v>12208</v>
      </c>
      <c r="M32" s="128">
        <f t="shared" si="8"/>
        <v>9700</v>
      </c>
      <c r="N32" s="128">
        <f t="shared" si="8"/>
        <v>37000</v>
      </c>
      <c r="O32" s="393">
        <f>SUM(C32:N32)</f>
        <v>11408586</v>
      </c>
      <c r="P32" s="60"/>
      <c r="Q32" s="60"/>
      <c r="R32" s="316"/>
    </row>
    <row r="33" spans="1:18" ht="31.5">
      <c r="A33" s="142" t="s">
        <v>222</v>
      </c>
      <c r="B33" s="396" t="s">
        <v>223</v>
      </c>
      <c r="C33" s="130"/>
      <c r="D33" s="113"/>
      <c r="E33" s="129"/>
      <c r="F33" s="129"/>
      <c r="G33" s="143"/>
      <c r="H33" s="143"/>
      <c r="I33" s="132"/>
      <c r="J33" s="132"/>
      <c r="K33" s="132"/>
      <c r="L33" s="132"/>
      <c r="M33" s="132"/>
      <c r="N33" s="153"/>
      <c r="O33" s="394">
        <f t="shared" si="2"/>
        <v>0</v>
      </c>
      <c r="P33" s="47"/>
      <c r="Q33" s="60"/>
      <c r="R33" s="316"/>
    </row>
    <row r="34" spans="1:18" ht="43.5">
      <c r="A34" s="144" t="s">
        <v>61</v>
      </c>
      <c r="B34" s="145" t="s">
        <v>256</v>
      </c>
      <c r="C34" s="54">
        <f>SUM(C35:C39)</f>
        <v>360119</v>
      </c>
      <c r="D34" s="54">
        <f aca="true" t="shared" si="9" ref="D34:N34">SUM(D35:D39)</f>
        <v>9610355</v>
      </c>
      <c r="E34" s="397">
        <f t="shared" si="9"/>
        <v>141710</v>
      </c>
      <c r="F34" s="174">
        <f t="shared" si="9"/>
        <v>249182</v>
      </c>
      <c r="G34" s="54">
        <f t="shared" si="9"/>
        <v>71953</v>
      </c>
      <c r="H34" s="397">
        <f t="shared" si="9"/>
        <v>94911</v>
      </c>
      <c r="I34" s="54">
        <f t="shared" si="9"/>
        <v>109168</v>
      </c>
      <c r="J34" s="397">
        <f t="shared" si="9"/>
        <v>601298</v>
      </c>
      <c r="K34" s="54">
        <f t="shared" si="9"/>
        <v>9700</v>
      </c>
      <c r="L34" s="397">
        <f t="shared" si="9"/>
        <v>12208</v>
      </c>
      <c r="M34" s="54">
        <f t="shared" si="9"/>
        <v>9700</v>
      </c>
      <c r="N34" s="398">
        <f t="shared" si="9"/>
        <v>37000</v>
      </c>
      <c r="O34" s="394">
        <f>SUM(C34:N34)</f>
        <v>11307304</v>
      </c>
      <c r="P34" s="47"/>
      <c r="Q34" s="60"/>
      <c r="R34" s="316"/>
    </row>
    <row r="35" spans="1:18" ht="15">
      <c r="A35" s="114" t="s">
        <v>182</v>
      </c>
      <c r="B35" s="115" t="s">
        <v>183</v>
      </c>
      <c r="C35" s="117">
        <v>173020</v>
      </c>
      <c r="D35" s="117"/>
      <c r="E35" s="135"/>
      <c r="F35" s="116"/>
      <c r="G35" s="38">
        <v>55000</v>
      </c>
      <c r="H35" s="54"/>
      <c r="I35" s="38"/>
      <c r="J35" s="38">
        <v>56782</v>
      </c>
      <c r="K35" s="54"/>
      <c r="L35" s="54"/>
      <c r="M35" s="54"/>
      <c r="N35" s="174"/>
      <c r="O35" s="394">
        <f t="shared" si="2"/>
        <v>284802</v>
      </c>
      <c r="P35" s="47"/>
      <c r="Q35" s="60"/>
      <c r="R35" s="316"/>
    </row>
    <row r="36" spans="1:18" ht="15">
      <c r="A36" s="114" t="s">
        <v>498</v>
      </c>
      <c r="B36" s="115" t="s">
        <v>499</v>
      </c>
      <c r="C36" s="38"/>
      <c r="D36" s="38"/>
      <c r="E36" s="38"/>
      <c r="F36" s="116"/>
      <c r="G36" s="134"/>
      <c r="H36" s="134"/>
      <c r="I36" s="133"/>
      <c r="J36" s="133"/>
      <c r="K36" s="133"/>
      <c r="L36" s="133"/>
      <c r="M36" s="133"/>
      <c r="N36" s="136"/>
      <c r="O36" s="394">
        <f t="shared" si="2"/>
        <v>0</v>
      </c>
      <c r="P36" s="47"/>
      <c r="Q36" s="60"/>
      <c r="R36" s="316"/>
    </row>
    <row r="37" spans="1:18" ht="30">
      <c r="A37" s="114" t="s">
        <v>184</v>
      </c>
      <c r="B37" s="115" t="s">
        <v>185</v>
      </c>
      <c r="C37" s="38">
        <v>1600</v>
      </c>
      <c r="D37" s="38"/>
      <c r="E37" s="38"/>
      <c r="F37" s="116"/>
      <c r="G37" s="134"/>
      <c r="H37" s="121"/>
      <c r="I37" s="133"/>
      <c r="J37" s="133">
        <v>30</v>
      </c>
      <c r="K37" s="133"/>
      <c r="L37" s="133"/>
      <c r="M37" s="133"/>
      <c r="N37" s="136"/>
      <c r="O37" s="394">
        <f t="shared" si="2"/>
        <v>1630</v>
      </c>
      <c r="P37" s="47"/>
      <c r="Q37" s="60"/>
      <c r="R37" s="316"/>
    </row>
    <row r="38" spans="1:18" ht="15">
      <c r="A38" s="114" t="s">
        <v>62</v>
      </c>
      <c r="B38" s="115" t="s">
        <v>63</v>
      </c>
      <c r="C38" s="38">
        <v>150744</v>
      </c>
      <c r="D38" s="38">
        <f>58428+7620</f>
        <v>66048</v>
      </c>
      <c r="E38" s="38">
        <v>63410</v>
      </c>
      <c r="F38" s="116">
        <v>2066</v>
      </c>
      <c r="G38" s="121">
        <v>5053</v>
      </c>
      <c r="H38" s="121">
        <v>5620</v>
      </c>
      <c r="I38" s="133">
        <v>3280</v>
      </c>
      <c r="J38" s="133">
        <v>26873</v>
      </c>
      <c r="K38" s="133">
        <v>1900</v>
      </c>
      <c r="L38" s="133">
        <v>1708</v>
      </c>
      <c r="M38" s="133">
        <v>2700</v>
      </c>
      <c r="N38" s="136">
        <v>4400</v>
      </c>
      <c r="O38" s="394">
        <f t="shared" si="2"/>
        <v>333802</v>
      </c>
      <c r="P38" s="47"/>
      <c r="Q38" s="60"/>
      <c r="R38" s="316"/>
    </row>
    <row r="39" spans="1:18" ht="30">
      <c r="A39" s="114" t="s">
        <v>64</v>
      </c>
      <c r="B39" s="115" t="s">
        <v>65</v>
      </c>
      <c r="C39" s="38">
        <v>34755</v>
      </c>
      <c r="D39" s="38">
        <f>9137680+406627</f>
        <v>9544307</v>
      </c>
      <c r="E39" s="38">
        <v>78300</v>
      </c>
      <c r="F39" s="116">
        <v>247116</v>
      </c>
      <c r="G39" s="232">
        <v>11900</v>
      </c>
      <c r="H39" s="121">
        <v>89291</v>
      </c>
      <c r="I39" s="120">
        <v>105888</v>
      </c>
      <c r="J39" s="120">
        <v>517613</v>
      </c>
      <c r="K39" s="120">
        <v>7800</v>
      </c>
      <c r="L39" s="120">
        <v>10500</v>
      </c>
      <c r="M39" s="120">
        <v>7000</v>
      </c>
      <c r="N39" s="120">
        <v>32600</v>
      </c>
      <c r="O39" s="394">
        <f>SUM(C39:N39)</f>
        <v>10687070</v>
      </c>
      <c r="P39" s="47"/>
      <c r="Q39" s="60"/>
      <c r="R39" s="316"/>
    </row>
    <row r="40" spans="1:18" ht="30" thickBot="1">
      <c r="A40" s="144" t="s">
        <v>407</v>
      </c>
      <c r="B40" s="145" t="s">
        <v>408</v>
      </c>
      <c r="C40" s="146"/>
      <c r="D40" s="146">
        <v>101282</v>
      </c>
      <c r="E40" s="146"/>
      <c r="F40" s="147"/>
      <c r="G40" s="399"/>
      <c r="H40" s="237"/>
      <c r="I40" s="400"/>
      <c r="J40" s="400"/>
      <c r="K40" s="400"/>
      <c r="L40" s="400"/>
      <c r="M40" s="400"/>
      <c r="N40" s="400"/>
      <c r="O40" s="394">
        <f>SUM(C40:N40)</f>
        <v>101282</v>
      </c>
      <c r="P40" s="47"/>
      <c r="Q40" s="60"/>
      <c r="R40" s="316"/>
    </row>
    <row r="41" spans="1:18" ht="15.75" thickBot="1">
      <c r="A41" s="148"/>
      <c r="B41" s="149" t="s">
        <v>66</v>
      </c>
      <c r="C41" s="150">
        <f>SUM(C7+C17+C25+C26+C28+C32)</f>
        <v>35006660</v>
      </c>
      <c r="D41" s="150">
        <f aca="true" t="shared" si="10" ref="D41:N41">SUM(D7+D17+D25+D26+D28+D32)</f>
        <v>9714037</v>
      </c>
      <c r="E41" s="150">
        <f t="shared" si="10"/>
        <v>141710</v>
      </c>
      <c r="F41" s="318">
        <f t="shared" si="10"/>
        <v>249182</v>
      </c>
      <c r="G41" s="150">
        <f t="shared" si="10"/>
        <v>177328</v>
      </c>
      <c r="H41" s="150">
        <f t="shared" si="10"/>
        <v>204354</v>
      </c>
      <c r="I41" s="150">
        <f t="shared" si="10"/>
        <v>152368</v>
      </c>
      <c r="J41" s="150">
        <f t="shared" si="10"/>
        <v>819075</v>
      </c>
      <c r="K41" s="150">
        <f t="shared" si="10"/>
        <v>60810</v>
      </c>
      <c r="L41" s="150">
        <f t="shared" si="10"/>
        <v>57040</v>
      </c>
      <c r="M41" s="150">
        <f t="shared" si="10"/>
        <v>50002</v>
      </c>
      <c r="N41" s="150">
        <f t="shared" si="10"/>
        <v>89858</v>
      </c>
      <c r="O41" s="393">
        <f>SUM(C41:N41)</f>
        <v>46722424</v>
      </c>
      <c r="P41" s="60"/>
      <c r="Q41" s="60"/>
      <c r="R41" s="316"/>
    </row>
    <row r="42" spans="1:17" ht="15">
      <c r="A42" s="151" t="s">
        <v>409</v>
      </c>
      <c r="B42" s="152" t="s">
        <v>67</v>
      </c>
      <c r="C42" s="319">
        <f>16661228-278831</f>
        <v>16382397</v>
      </c>
      <c r="D42" s="113"/>
      <c r="E42" s="113"/>
      <c r="F42" s="129"/>
      <c r="G42" s="131"/>
      <c r="H42" s="143"/>
      <c r="I42" s="132"/>
      <c r="J42" s="132"/>
      <c r="K42" s="132"/>
      <c r="L42" s="132"/>
      <c r="M42" s="153"/>
      <c r="N42" s="132"/>
      <c r="O42" s="394">
        <f t="shared" si="2"/>
        <v>16382397</v>
      </c>
      <c r="P42" s="60"/>
      <c r="Q42" s="60"/>
    </row>
    <row r="43" spans="1:17" ht="15">
      <c r="A43" s="154"/>
      <c r="B43" s="155" t="s">
        <v>68</v>
      </c>
      <c r="C43" s="156">
        <f aca="true" t="shared" si="11" ref="C43:N43">SUM(C41:C42)</f>
        <v>51389057</v>
      </c>
      <c r="D43" s="157">
        <f t="shared" si="11"/>
        <v>9714037</v>
      </c>
      <c r="E43" s="157">
        <f t="shared" si="11"/>
        <v>141710</v>
      </c>
      <c r="F43" s="158">
        <f t="shared" si="11"/>
        <v>249182</v>
      </c>
      <c r="G43" s="157">
        <f t="shared" si="11"/>
        <v>177328</v>
      </c>
      <c r="H43" s="157">
        <f t="shared" si="11"/>
        <v>204354</v>
      </c>
      <c r="I43" s="157">
        <f t="shared" si="11"/>
        <v>152368</v>
      </c>
      <c r="J43" s="157">
        <f t="shared" si="11"/>
        <v>819075</v>
      </c>
      <c r="K43" s="157">
        <f t="shared" si="11"/>
        <v>60810</v>
      </c>
      <c r="L43" s="157">
        <f t="shared" si="11"/>
        <v>57040</v>
      </c>
      <c r="M43" s="158">
        <f t="shared" si="11"/>
        <v>50002</v>
      </c>
      <c r="N43" s="157">
        <f t="shared" si="11"/>
        <v>89858</v>
      </c>
      <c r="O43" s="394">
        <f t="shared" si="2"/>
        <v>63104821</v>
      </c>
      <c r="P43" s="60"/>
      <c r="Q43" s="60"/>
    </row>
    <row r="44" spans="1:17" ht="18" customHeight="1">
      <c r="A44" s="79" t="s">
        <v>397</v>
      </c>
      <c r="B44" s="78" t="s">
        <v>500</v>
      </c>
      <c r="C44" s="159">
        <f>2600000+1189684</f>
        <v>3789684</v>
      </c>
      <c r="D44" s="38">
        <f>2058917-151750</f>
        <v>1907167</v>
      </c>
      <c r="E44" s="38">
        <v>108814</v>
      </c>
      <c r="F44" s="116">
        <v>15097</v>
      </c>
      <c r="G44" s="121">
        <f>160999+28443</f>
        <v>189442</v>
      </c>
      <c r="H44" s="121">
        <f>32637+73056</f>
        <v>105693</v>
      </c>
      <c r="I44" s="133">
        <f>114778+28218</f>
        <v>142996</v>
      </c>
      <c r="J44" s="133">
        <v>233873</v>
      </c>
      <c r="K44" s="133">
        <f>21000+4283</f>
        <v>25283</v>
      </c>
      <c r="L44" s="133">
        <f>4398+3837</f>
        <v>8235</v>
      </c>
      <c r="M44" s="136">
        <f>10000+2720</f>
        <v>12720</v>
      </c>
      <c r="N44" s="133">
        <f>30000+16204</f>
        <v>46204</v>
      </c>
      <c r="O44" s="394">
        <f t="shared" si="2"/>
        <v>6585208</v>
      </c>
      <c r="P44" s="60"/>
      <c r="Q44" s="60"/>
    </row>
    <row r="45" spans="1:17" ht="15">
      <c r="A45" s="79" t="s">
        <v>224</v>
      </c>
      <c r="B45" s="90" t="s">
        <v>225</v>
      </c>
      <c r="C45" s="159"/>
      <c r="D45" s="38"/>
      <c r="E45" s="38"/>
      <c r="F45" s="116"/>
      <c r="G45" s="121"/>
      <c r="H45" s="121"/>
      <c r="I45" s="133"/>
      <c r="J45" s="133"/>
      <c r="K45" s="133"/>
      <c r="L45" s="133"/>
      <c r="M45" s="136"/>
      <c r="N45" s="133"/>
      <c r="O45" s="394">
        <f t="shared" si="2"/>
        <v>0</v>
      </c>
      <c r="P45" s="60"/>
      <c r="Q45" s="60"/>
    </row>
    <row r="46" spans="1:17" ht="15">
      <c r="A46" s="154"/>
      <c r="B46" s="78" t="s">
        <v>69</v>
      </c>
      <c r="C46" s="156">
        <f>SUM(C43:C44)</f>
        <v>55178741</v>
      </c>
      <c r="D46" s="157">
        <f>SUM(D43:D44)</f>
        <v>11621204</v>
      </c>
      <c r="E46" s="157">
        <f>SUM(E43:E44)</f>
        <v>250524</v>
      </c>
      <c r="F46" s="158">
        <f aca="true" t="shared" si="12" ref="F46:N46">SUM(F43:F45)</f>
        <v>264279</v>
      </c>
      <c r="G46" s="157">
        <f t="shared" si="12"/>
        <v>366770</v>
      </c>
      <c r="H46" s="157">
        <f t="shared" si="12"/>
        <v>310047</v>
      </c>
      <c r="I46" s="157">
        <f t="shared" si="12"/>
        <v>295364</v>
      </c>
      <c r="J46" s="157">
        <f t="shared" si="12"/>
        <v>1052948</v>
      </c>
      <c r="K46" s="157">
        <f t="shared" si="12"/>
        <v>86093</v>
      </c>
      <c r="L46" s="157">
        <f t="shared" si="12"/>
        <v>65275</v>
      </c>
      <c r="M46" s="157">
        <f t="shared" si="12"/>
        <v>62722</v>
      </c>
      <c r="N46" s="157">
        <f t="shared" si="12"/>
        <v>136062</v>
      </c>
      <c r="O46" s="394">
        <f t="shared" si="2"/>
        <v>69690029</v>
      </c>
      <c r="P46" s="60"/>
      <c r="Q46" s="60"/>
    </row>
    <row r="47" spans="1:17" ht="15">
      <c r="A47" s="160"/>
      <c r="B47" s="29"/>
      <c r="C47" s="161"/>
      <c r="D47" s="162"/>
      <c r="E47" s="162"/>
      <c r="F47" s="162"/>
      <c r="G47" s="163"/>
      <c r="H47" s="163"/>
      <c r="I47" s="163"/>
      <c r="J47" s="163"/>
      <c r="K47" s="163"/>
      <c r="L47" s="163"/>
      <c r="M47" s="163"/>
      <c r="N47" s="163"/>
      <c r="O47" s="163"/>
      <c r="P47" s="163"/>
      <c r="Q47" s="163"/>
    </row>
    <row r="48" spans="1:17" ht="15">
      <c r="A48" s="160"/>
      <c r="B48" s="486"/>
      <c r="C48" s="161"/>
      <c r="D48" s="162"/>
      <c r="E48" s="162"/>
      <c r="F48" s="162"/>
      <c r="G48" s="60"/>
      <c r="H48" s="60"/>
      <c r="I48" s="60"/>
      <c r="J48" s="60"/>
      <c r="K48" s="60"/>
      <c r="L48" s="60"/>
      <c r="M48" s="60"/>
      <c r="N48" s="60"/>
      <c r="O48" s="60"/>
      <c r="P48" s="60"/>
      <c r="Q48" s="60"/>
    </row>
    <row r="49" spans="1:17" ht="15">
      <c r="A49" s="160"/>
      <c r="B49" s="29"/>
      <c r="D49" s="162"/>
      <c r="E49" s="162"/>
      <c r="F49" s="162"/>
      <c r="G49" s="163"/>
      <c r="H49" s="163"/>
      <c r="I49" s="163"/>
      <c r="J49" s="163"/>
      <c r="K49" s="163"/>
      <c r="L49" s="163"/>
      <c r="M49" s="163"/>
      <c r="N49" s="163"/>
      <c r="O49" s="163"/>
      <c r="P49" s="163"/>
      <c r="Q49" s="163"/>
    </row>
    <row r="50" spans="2:4" ht="15">
      <c r="B50" s="164" t="s">
        <v>394</v>
      </c>
      <c r="D50" s="96" t="s">
        <v>38</v>
      </c>
    </row>
    <row r="51" spans="1:15" ht="15">
      <c r="A51" s="160"/>
      <c r="B51" s="29"/>
      <c r="D51" s="165"/>
      <c r="E51" s="97"/>
      <c r="F51" s="97"/>
      <c r="L51" s="493" t="s">
        <v>70</v>
      </c>
      <c r="M51" s="493"/>
      <c r="N51" s="493"/>
      <c r="O51" s="493"/>
    </row>
    <row r="52" spans="1:15" ht="15">
      <c r="A52" s="160"/>
      <c r="B52" s="29"/>
      <c r="E52" s="99"/>
      <c r="F52" s="99"/>
      <c r="L52" s="494" t="s">
        <v>27</v>
      </c>
      <c r="M52" s="494"/>
      <c r="N52" s="494"/>
      <c r="O52" s="494"/>
    </row>
    <row r="53" spans="1:15" ht="15">
      <c r="A53" s="166"/>
      <c r="B53" s="167"/>
      <c r="E53" s="99"/>
      <c r="F53" s="99"/>
      <c r="L53" s="494" t="s">
        <v>716</v>
      </c>
      <c r="M53" s="494"/>
      <c r="N53" s="494"/>
      <c r="O53" s="494"/>
    </row>
    <row r="54" spans="1:8" ht="22.5" customHeight="1" thickBot="1">
      <c r="A54" s="495" t="s">
        <v>501</v>
      </c>
      <c r="B54" s="495"/>
      <c r="C54" s="495"/>
      <c r="D54" s="495"/>
      <c r="E54" s="495"/>
      <c r="F54" s="495"/>
      <c r="G54" s="495"/>
      <c r="H54" s="495"/>
    </row>
    <row r="55" spans="1:18" ht="105.75" thickBot="1">
      <c r="A55" s="102" t="s">
        <v>24</v>
      </c>
      <c r="B55" s="103" t="s">
        <v>170</v>
      </c>
      <c r="C55" s="229" t="s">
        <v>483</v>
      </c>
      <c r="D55" s="230" t="s">
        <v>484</v>
      </c>
      <c r="E55" s="104" t="s">
        <v>485</v>
      </c>
      <c r="F55" s="104" t="s">
        <v>486</v>
      </c>
      <c r="G55" s="105" t="s">
        <v>487</v>
      </c>
      <c r="H55" s="105" t="s">
        <v>488</v>
      </c>
      <c r="I55" s="105" t="s">
        <v>489</v>
      </c>
      <c r="J55" s="105" t="s">
        <v>490</v>
      </c>
      <c r="K55" s="105" t="s">
        <v>491</v>
      </c>
      <c r="L55" s="105" t="s">
        <v>492</v>
      </c>
      <c r="M55" s="105" t="s">
        <v>493</v>
      </c>
      <c r="N55" s="231" t="s">
        <v>494</v>
      </c>
      <c r="O55" s="106" t="s">
        <v>495</v>
      </c>
      <c r="P55" s="164"/>
      <c r="Q55" s="164"/>
      <c r="R55" s="164"/>
    </row>
    <row r="56" spans="1:18" ht="15.75" thickBot="1">
      <c r="A56" s="168" t="s">
        <v>71</v>
      </c>
      <c r="B56" s="108" t="s">
        <v>72</v>
      </c>
      <c r="C56" s="402">
        <f>C57+C58+C59+C61+C62+C66</f>
        <v>3716163</v>
      </c>
      <c r="D56" s="402">
        <f aca="true" t="shared" si="13" ref="D56:M56">D57+D58+D59+D61+D62+D66</f>
        <v>0</v>
      </c>
      <c r="E56" s="402">
        <f t="shared" si="13"/>
        <v>0</v>
      </c>
      <c r="F56" s="402">
        <f t="shared" si="13"/>
        <v>0</v>
      </c>
      <c r="G56" s="402">
        <f t="shared" si="13"/>
        <v>132383</v>
      </c>
      <c r="H56" s="402">
        <f t="shared" si="13"/>
        <v>127161</v>
      </c>
      <c r="I56" s="402">
        <f t="shared" si="13"/>
        <v>102028</v>
      </c>
      <c r="J56" s="402">
        <f t="shared" si="13"/>
        <v>188965</v>
      </c>
      <c r="K56" s="402">
        <f t="shared" si="13"/>
        <v>102380</v>
      </c>
      <c r="L56" s="402">
        <f t="shared" si="13"/>
        <v>62499</v>
      </c>
      <c r="M56" s="402">
        <f t="shared" si="13"/>
        <v>70660</v>
      </c>
      <c r="N56" s="402">
        <f>N57+N58+N59+N61+N62+N66</f>
        <v>127224</v>
      </c>
      <c r="O56" s="393">
        <f>SUM(C56:N56)</f>
        <v>4629463</v>
      </c>
      <c r="P56" s="432"/>
      <c r="Q56" s="432"/>
      <c r="R56" s="316"/>
    </row>
    <row r="57" spans="1:18" ht="29.25">
      <c r="A57" s="169" t="s">
        <v>257</v>
      </c>
      <c r="B57" s="170" t="s">
        <v>258</v>
      </c>
      <c r="C57" s="403">
        <f>2301457+3791+15350+122</f>
        <v>2320720</v>
      </c>
      <c r="D57" s="113"/>
      <c r="E57" s="113"/>
      <c r="F57" s="129"/>
      <c r="G57" s="130">
        <v>131418</v>
      </c>
      <c r="H57" s="210">
        <v>126751</v>
      </c>
      <c r="I57" s="210">
        <v>94838</v>
      </c>
      <c r="J57" s="238">
        <v>165352</v>
      </c>
      <c r="K57" s="210">
        <v>102380</v>
      </c>
      <c r="L57" s="210">
        <v>58253</v>
      </c>
      <c r="M57" s="210">
        <v>67530</v>
      </c>
      <c r="N57" s="384">
        <v>111171</v>
      </c>
      <c r="O57" s="404">
        <f>SUM(C57:N57)</f>
        <v>3178413</v>
      </c>
      <c r="P57" s="47"/>
      <c r="Q57" s="60"/>
      <c r="R57" s="316"/>
    </row>
    <row r="58" spans="1:18" ht="29.25">
      <c r="A58" s="169" t="s">
        <v>502</v>
      </c>
      <c r="B58" s="170" t="s">
        <v>503</v>
      </c>
      <c r="C58" s="403">
        <v>72646</v>
      </c>
      <c r="D58" s="129"/>
      <c r="E58" s="113"/>
      <c r="F58" s="129"/>
      <c r="G58" s="130"/>
      <c r="H58" s="130"/>
      <c r="I58" s="130"/>
      <c r="J58" s="384"/>
      <c r="K58" s="171"/>
      <c r="L58" s="171"/>
      <c r="M58" s="54"/>
      <c r="N58" s="384"/>
      <c r="O58" s="394">
        <f>SUM(C58:N58)</f>
        <v>72646</v>
      </c>
      <c r="P58" s="47"/>
      <c r="Q58" s="60"/>
      <c r="R58" s="316"/>
    </row>
    <row r="59" spans="1:18" ht="15">
      <c r="A59" s="173" t="s">
        <v>73</v>
      </c>
      <c r="B59" s="145" t="s">
        <v>74</v>
      </c>
      <c r="C59" s="405">
        <f>SUM(C60:C60)</f>
        <v>113960</v>
      </c>
      <c r="D59" s="174">
        <f>SUM(D60:D60)</f>
        <v>0</v>
      </c>
      <c r="E59" s="54"/>
      <c r="F59" s="174"/>
      <c r="G59" s="54">
        <f aca="true" t="shared" si="14" ref="G59:N59">SUM(G60:G60)</f>
        <v>965</v>
      </c>
      <c r="H59" s="54">
        <f t="shared" si="14"/>
        <v>410</v>
      </c>
      <c r="I59" s="54">
        <f t="shared" si="14"/>
        <v>1700</v>
      </c>
      <c r="J59" s="174">
        <f t="shared" si="14"/>
        <v>728</v>
      </c>
      <c r="K59" s="174">
        <f t="shared" si="14"/>
        <v>0</v>
      </c>
      <c r="L59" s="174">
        <f t="shared" si="14"/>
        <v>425</v>
      </c>
      <c r="M59" s="174">
        <f t="shared" si="14"/>
        <v>530</v>
      </c>
      <c r="N59" s="174">
        <f t="shared" si="14"/>
        <v>1053</v>
      </c>
      <c r="O59" s="406">
        <f aca="true" t="shared" si="15" ref="O59:O116">SUM(C59:N59)</f>
        <v>119771</v>
      </c>
      <c r="P59" s="47"/>
      <c r="Q59" s="60"/>
      <c r="R59" s="316"/>
    </row>
    <row r="60" spans="1:18" ht="30">
      <c r="A60" s="175" t="s">
        <v>75</v>
      </c>
      <c r="B60" s="115" t="s">
        <v>76</v>
      </c>
      <c r="C60" s="359">
        <v>113960</v>
      </c>
      <c r="D60" s="38"/>
      <c r="E60" s="38"/>
      <c r="F60" s="116"/>
      <c r="G60" s="133">
        <v>965</v>
      </c>
      <c r="H60" s="121">
        <v>410</v>
      </c>
      <c r="I60" s="121">
        <v>1700</v>
      </c>
      <c r="J60" s="133">
        <v>728</v>
      </c>
      <c r="K60" s="133"/>
      <c r="L60" s="133">
        <v>425</v>
      </c>
      <c r="M60" s="133">
        <v>530</v>
      </c>
      <c r="N60" s="133">
        <v>1053</v>
      </c>
      <c r="O60" s="406">
        <f t="shared" si="15"/>
        <v>119771</v>
      </c>
      <c r="P60" s="47"/>
      <c r="Q60" s="60"/>
      <c r="R60" s="316"/>
    </row>
    <row r="61" spans="1:18" ht="29.25">
      <c r="A61" s="173" t="s">
        <v>259</v>
      </c>
      <c r="B61" s="177" t="s">
        <v>260</v>
      </c>
      <c r="C61" s="359"/>
      <c r="D61" s="116"/>
      <c r="E61" s="38"/>
      <c r="F61" s="116"/>
      <c r="G61" s="133"/>
      <c r="H61" s="134"/>
      <c r="I61" s="134"/>
      <c r="J61" s="136"/>
      <c r="K61" s="136"/>
      <c r="L61" s="136"/>
      <c r="M61" s="136"/>
      <c r="N61" s="136"/>
      <c r="O61" s="406">
        <f t="shared" si="15"/>
        <v>0</v>
      </c>
      <c r="P61" s="47"/>
      <c r="Q61" s="60"/>
      <c r="R61" s="316"/>
    </row>
    <row r="62" spans="1:18" ht="29.25">
      <c r="A62" s="173" t="s">
        <v>77</v>
      </c>
      <c r="B62" s="177" t="s">
        <v>78</v>
      </c>
      <c r="C62" s="405">
        <f>SUM(C63:C65)</f>
        <v>690000</v>
      </c>
      <c r="D62" s="174">
        <f aca="true" t="shared" si="16" ref="D62:M62">SUM(D63:D65)</f>
        <v>0</v>
      </c>
      <c r="E62" s="174">
        <f t="shared" si="16"/>
        <v>0</v>
      </c>
      <c r="F62" s="174">
        <f t="shared" si="16"/>
        <v>0</v>
      </c>
      <c r="G62" s="54">
        <f t="shared" si="16"/>
        <v>0</v>
      </c>
      <c r="H62" s="174">
        <f t="shared" si="16"/>
        <v>0</v>
      </c>
      <c r="I62" s="174">
        <f t="shared" si="16"/>
        <v>4212</v>
      </c>
      <c r="J62" s="174">
        <f t="shared" si="16"/>
        <v>16312</v>
      </c>
      <c r="K62" s="174">
        <f t="shared" si="16"/>
        <v>0</v>
      </c>
      <c r="L62" s="174">
        <f t="shared" si="16"/>
        <v>3821</v>
      </c>
      <c r="M62" s="174">
        <f t="shared" si="16"/>
        <v>2600</v>
      </c>
      <c r="N62" s="174">
        <f>SUM(N63:N65)</f>
        <v>15000</v>
      </c>
      <c r="O62" s="406">
        <f>SUM(C62:N62)</f>
        <v>731945</v>
      </c>
      <c r="P62" s="47"/>
      <c r="Q62" s="60"/>
      <c r="R62" s="316"/>
    </row>
    <row r="63" spans="1:18" ht="30">
      <c r="A63" s="179" t="s">
        <v>569</v>
      </c>
      <c r="B63" s="115" t="s">
        <v>79</v>
      </c>
      <c r="C63" s="359">
        <v>520000</v>
      </c>
      <c r="D63" s="38"/>
      <c r="E63" s="38"/>
      <c r="F63" s="116"/>
      <c r="G63" s="134"/>
      <c r="H63" s="134"/>
      <c r="I63" s="134"/>
      <c r="J63" s="133"/>
      <c r="K63" s="133"/>
      <c r="L63" s="133"/>
      <c r="M63" s="133"/>
      <c r="N63" s="136"/>
      <c r="O63" s="406">
        <f t="shared" si="15"/>
        <v>520000</v>
      </c>
      <c r="P63" s="47"/>
      <c r="Q63" s="60"/>
      <c r="R63" s="316"/>
    </row>
    <row r="64" spans="1:18" ht="30">
      <c r="A64" s="179" t="s">
        <v>570</v>
      </c>
      <c r="B64" s="115" t="s">
        <v>385</v>
      </c>
      <c r="C64" s="116">
        <f>61945-41945</f>
        <v>20000</v>
      </c>
      <c r="D64" s="38"/>
      <c r="E64" s="38"/>
      <c r="F64" s="116"/>
      <c r="G64" s="121"/>
      <c r="H64" s="121"/>
      <c r="I64" s="121">
        <v>4212</v>
      </c>
      <c r="J64" s="133">
        <v>16312</v>
      </c>
      <c r="K64" s="133"/>
      <c r="L64" s="133">
        <v>3821</v>
      </c>
      <c r="M64" s="133">
        <v>2600</v>
      </c>
      <c r="N64" s="136">
        <v>15000</v>
      </c>
      <c r="O64" s="406">
        <f t="shared" si="15"/>
        <v>61945</v>
      </c>
      <c r="P64" s="47"/>
      <c r="Q64" s="60"/>
      <c r="R64" s="316"/>
    </row>
    <row r="65" spans="1:26" ht="45">
      <c r="A65" s="179" t="s">
        <v>571</v>
      </c>
      <c r="B65" s="123" t="s">
        <v>661</v>
      </c>
      <c r="C65" s="407">
        <v>150000</v>
      </c>
      <c r="D65" s="124"/>
      <c r="E65" s="124"/>
      <c r="F65" s="125"/>
      <c r="G65" s="226"/>
      <c r="H65" s="226"/>
      <c r="I65" s="226"/>
      <c r="J65" s="127"/>
      <c r="K65" s="127"/>
      <c r="L65" s="127"/>
      <c r="M65" s="127"/>
      <c r="N65" s="233"/>
      <c r="O65" s="406">
        <f t="shared" si="15"/>
        <v>150000</v>
      </c>
      <c r="P65" s="47"/>
      <c r="Q65" s="60"/>
      <c r="R65" s="401"/>
      <c r="T65" s="98"/>
      <c r="U65" s="98"/>
      <c r="V65" s="98"/>
      <c r="W65" s="98"/>
      <c r="X65" s="98"/>
      <c r="Y65" s="98"/>
      <c r="Z65" s="98"/>
    </row>
    <row r="66" spans="1:26" s="98" customFormat="1" ht="15.75" thickBot="1">
      <c r="A66" s="180" t="s">
        <v>80</v>
      </c>
      <c r="B66" s="181" t="s">
        <v>261</v>
      </c>
      <c r="C66" s="315">
        <f>350000+194690+24133-15000+1750-122-17279-19335</f>
        <v>518837</v>
      </c>
      <c r="D66" s="182"/>
      <c r="E66" s="182"/>
      <c r="F66" s="315"/>
      <c r="G66" s="239"/>
      <c r="H66" s="183"/>
      <c r="I66" s="184">
        <v>1278</v>
      </c>
      <c r="J66" s="185">
        <v>6573</v>
      </c>
      <c r="K66" s="185"/>
      <c r="L66" s="185"/>
      <c r="M66" s="185"/>
      <c r="N66" s="240"/>
      <c r="O66" s="408">
        <f t="shared" si="15"/>
        <v>526688</v>
      </c>
      <c r="P66" s="60"/>
      <c r="Q66" s="60"/>
      <c r="R66" s="401"/>
      <c r="T66" s="94"/>
      <c r="U66" s="94"/>
      <c r="V66" s="94"/>
      <c r="W66" s="94"/>
      <c r="X66" s="94"/>
      <c r="Y66" s="94"/>
      <c r="Z66" s="94"/>
    </row>
    <row r="67" spans="1:18" ht="15.75" thickBot="1">
      <c r="A67" s="186" t="s">
        <v>81</v>
      </c>
      <c r="B67" s="108" t="s">
        <v>82</v>
      </c>
      <c r="C67" s="402">
        <f aca="true" t="shared" si="17" ref="C67:N67">SUM(C68:C69,C71)</f>
        <v>585801</v>
      </c>
      <c r="D67" s="128">
        <f t="shared" si="17"/>
        <v>0</v>
      </c>
      <c r="E67" s="128">
        <f t="shared" si="17"/>
        <v>0</v>
      </c>
      <c r="F67" s="128">
        <f t="shared" si="17"/>
        <v>0</v>
      </c>
      <c r="G67" s="128">
        <f t="shared" si="17"/>
        <v>6496</v>
      </c>
      <c r="H67" s="128">
        <f t="shared" si="17"/>
        <v>0</v>
      </c>
      <c r="I67" s="128">
        <f t="shared" si="17"/>
        <v>0</v>
      </c>
      <c r="J67" s="128">
        <f t="shared" si="17"/>
        <v>4188</v>
      </c>
      <c r="K67" s="128">
        <f t="shared" si="17"/>
        <v>0</v>
      </c>
      <c r="L67" s="128">
        <f t="shared" si="17"/>
        <v>0</v>
      </c>
      <c r="M67" s="128">
        <f t="shared" si="17"/>
        <v>0</v>
      </c>
      <c r="N67" s="128">
        <f t="shared" si="17"/>
        <v>9588</v>
      </c>
      <c r="O67" s="393">
        <f t="shared" si="15"/>
        <v>606073</v>
      </c>
      <c r="P67" s="60"/>
      <c r="Q67" s="60"/>
      <c r="R67" s="316"/>
    </row>
    <row r="68" spans="1:18" ht="15">
      <c r="A68" s="169" t="s">
        <v>262</v>
      </c>
      <c r="B68" s="170" t="s">
        <v>35</v>
      </c>
      <c r="C68" s="409">
        <v>554523</v>
      </c>
      <c r="D68" s="113"/>
      <c r="E68" s="113"/>
      <c r="F68" s="129"/>
      <c r="G68" s="131"/>
      <c r="H68" s="143"/>
      <c r="I68" s="143"/>
      <c r="J68" s="132"/>
      <c r="K68" s="132"/>
      <c r="L68" s="132"/>
      <c r="M68" s="132"/>
      <c r="N68" s="153"/>
      <c r="O68" s="404">
        <f t="shared" si="15"/>
        <v>554523</v>
      </c>
      <c r="P68" s="47"/>
      <c r="Q68" s="60"/>
      <c r="R68" s="316"/>
    </row>
    <row r="69" spans="1:18" ht="29.25">
      <c r="A69" s="173" t="s">
        <v>349</v>
      </c>
      <c r="B69" s="145" t="s">
        <v>355</v>
      </c>
      <c r="C69" s="405">
        <f>SUM(C70:C70)</f>
        <v>1980</v>
      </c>
      <c r="D69" s="405">
        <f aca="true" t="shared" si="18" ref="D69:N69">SUM(D70:D70)</f>
        <v>0</v>
      </c>
      <c r="E69" s="405">
        <f t="shared" si="18"/>
        <v>0</v>
      </c>
      <c r="F69" s="405">
        <f t="shared" si="18"/>
        <v>0</v>
      </c>
      <c r="G69" s="405">
        <f t="shared" si="18"/>
        <v>0</v>
      </c>
      <c r="H69" s="405">
        <f t="shared" si="18"/>
        <v>0</v>
      </c>
      <c r="I69" s="405">
        <f t="shared" si="18"/>
        <v>0</v>
      </c>
      <c r="J69" s="405">
        <f t="shared" si="18"/>
        <v>0</v>
      </c>
      <c r="K69" s="405">
        <f t="shared" si="18"/>
        <v>0</v>
      </c>
      <c r="L69" s="405">
        <f t="shared" si="18"/>
        <v>0</v>
      </c>
      <c r="M69" s="405">
        <f t="shared" si="18"/>
        <v>0</v>
      </c>
      <c r="N69" s="405">
        <f t="shared" si="18"/>
        <v>0</v>
      </c>
      <c r="O69" s="394">
        <f>SUM(C69:N69)</f>
        <v>1980</v>
      </c>
      <c r="P69" s="47"/>
      <c r="Q69" s="60"/>
      <c r="R69" s="316"/>
    </row>
    <row r="70" spans="1:26" ht="15">
      <c r="A70" s="175" t="s">
        <v>572</v>
      </c>
      <c r="B70" s="320" t="s">
        <v>573</v>
      </c>
      <c r="C70" s="359">
        <v>1980</v>
      </c>
      <c r="D70" s="174"/>
      <c r="E70" s="174"/>
      <c r="F70" s="174"/>
      <c r="G70" s="174"/>
      <c r="H70" s="174"/>
      <c r="I70" s="174"/>
      <c r="J70" s="174"/>
      <c r="K70" s="174"/>
      <c r="L70" s="174"/>
      <c r="M70" s="174"/>
      <c r="N70" s="450"/>
      <c r="O70" s="406">
        <f t="shared" si="15"/>
        <v>1980</v>
      </c>
      <c r="P70" s="47"/>
      <c r="Q70" s="60"/>
      <c r="R70" s="316"/>
      <c r="T70" s="98"/>
      <c r="U70" s="98"/>
      <c r="V70" s="98"/>
      <c r="W70" s="98"/>
      <c r="X70" s="98"/>
      <c r="Y70" s="98"/>
      <c r="Z70" s="98"/>
    </row>
    <row r="71" spans="1:26" s="98" customFormat="1" ht="30" thickBot="1">
      <c r="A71" s="180" t="s">
        <v>83</v>
      </c>
      <c r="B71" s="181" t="s">
        <v>263</v>
      </c>
      <c r="C71" s="411">
        <v>29298</v>
      </c>
      <c r="D71" s="182"/>
      <c r="E71" s="182"/>
      <c r="F71" s="315"/>
      <c r="G71" s="184">
        <v>6496</v>
      </c>
      <c r="H71" s="183"/>
      <c r="I71" s="183"/>
      <c r="J71" s="185">
        <v>4188</v>
      </c>
      <c r="K71" s="185"/>
      <c r="L71" s="185"/>
      <c r="M71" s="185"/>
      <c r="N71" s="240">
        <v>9588</v>
      </c>
      <c r="O71" s="408">
        <f t="shared" si="15"/>
        <v>49570</v>
      </c>
      <c r="P71" s="47"/>
      <c r="Q71" s="60"/>
      <c r="R71" s="316"/>
      <c r="T71" s="94"/>
      <c r="U71" s="94"/>
      <c r="V71" s="94"/>
      <c r="W71" s="94"/>
      <c r="X71" s="94"/>
      <c r="Y71" s="94"/>
      <c r="Z71" s="94"/>
    </row>
    <row r="72" spans="1:18" ht="15.75" thickBot="1">
      <c r="A72" s="186" t="s">
        <v>10</v>
      </c>
      <c r="B72" s="108" t="s">
        <v>84</v>
      </c>
      <c r="C72" s="402">
        <f aca="true" t="shared" si="19" ref="C72:N72">SUM(C73,C79:C84,C90)</f>
        <v>12528832</v>
      </c>
      <c r="D72" s="128">
        <f t="shared" si="19"/>
        <v>580915</v>
      </c>
      <c r="E72" s="128">
        <f t="shared" si="19"/>
        <v>0</v>
      </c>
      <c r="F72" s="128">
        <f t="shared" si="19"/>
        <v>0</v>
      </c>
      <c r="G72" s="128">
        <f t="shared" si="19"/>
        <v>84414</v>
      </c>
      <c r="H72" s="128">
        <f t="shared" si="19"/>
        <v>15818</v>
      </c>
      <c r="I72" s="128">
        <f t="shared" si="19"/>
        <v>11504</v>
      </c>
      <c r="J72" s="128">
        <f t="shared" si="19"/>
        <v>101141</v>
      </c>
      <c r="K72" s="128">
        <f t="shared" si="19"/>
        <v>7070</v>
      </c>
      <c r="L72" s="128">
        <f t="shared" si="19"/>
        <v>0</v>
      </c>
      <c r="M72" s="128">
        <f t="shared" si="19"/>
        <v>1500</v>
      </c>
      <c r="N72" s="128">
        <f t="shared" si="19"/>
        <v>0</v>
      </c>
      <c r="O72" s="393">
        <f aca="true" t="shared" si="20" ref="O72:O81">SUM(C72:N72)</f>
        <v>13331194</v>
      </c>
      <c r="P72" s="60"/>
      <c r="Q72" s="60"/>
      <c r="R72" s="316"/>
    </row>
    <row r="73" spans="1:18" ht="15">
      <c r="A73" s="169" t="s">
        <v>85</v>
      </c>
      <c r="B73" s="189" t="s">
        <v>86</v>
      </c>
      <c r="C73" s="403">
        <f aca="true" t="shared" si="21" ref="C73:N73">SUM(C74:C78)</f>
        <v>2335108</v>
      </c>
      <c r="D73" s="171">
        <f t="shared" si="21"/>
        <v>0</v>
      </c>
      <c r="E73" s="171">
        <f t="shared" si="21"/>
        <v>0</v>
      </c>
      <c r="F73" s="171">
        <f t="shared" si="21"/>
        <v>0</v>
      </c>
      <c r="G73" s="130">
        <f t="shared" si="21"/>
        <v>0</v>
      </c>
      <c r="H73" s="171">
        <f t="shared" si="21"/>
        <v>0</v>
      </c>
      <c r="I73" s="171">
        <f t="shared" si="21"/>
        <v>0</v>
      </c>
      <c r="J73" s="171">
        <f t="shared" si="21"/>
        <v>0</v>
      </c>
      <c r="K73" s="171">
        <f t="shared" si="21"/>
        <v>0</v>
      </c>
      <c r="L73" s="171">
        <f t="shared" si="21"/>
        <v>0</v>
      </c>
      <c r="M73" s="171">
        <f t="shared" si="21"/>
        <v>0</v>
      </c>
      <c r="N73" s="171">
        <f t="shared" si="21"/>
        <v>0</v>
      </c>
      <c r="O73" s="404">
        <f t="shared" si="20"/>
        <v>2335108</v>
      </c>
      <c r="P73" s="60"/>
      <c r="Q73" s="60"/>
      <c r="R73" s="316"/>
    </row>
    <row r="74" spans="1:18" ht="15">
      <c r="A74" s="190" t="s">
        <v>264</v>
      </c>
      <c r="B74" s="132" t="s">
        <v>265</v>
      </c>
      <c r="C74" s="409">
        <f>10000</f>
        <v>10000</v>
      </c>
      <c r="D74" s="113"/>
      <c r="E74" s="113"/>
      <c r="F74" s="129"/>
      <c r="G74" s="143"/>
      <c r="H74" s="143"/>
      <c r="I74" s="131"/>
      <c r="J74" s="132"/>
      <c r="K74" s="132"/>
      <c r="L74" s="132"/>
      <c r="M74" s="132"/>
      <c r="N74" s="153"/>
      <c r="O74" s="412">
        <f t="shared" si="20"/>
        <v>10000</v>
      </c>
      <c r="P74" s="47"/>
      <c r="Q74" s="60"/>
      <c r="R74" s="316"/>
    </row>
    <row r="75" spans="1:18" ht="30">
      <c r="A75" s="190" t="s">
        <v>574</v>
      </c>
      <c r="B75" s="192" t="s">
        <v>599</v>
      </c>
      <c r="C75" s="409">
        <f>30000+10930</f>
        <v>40930</v>
      </c>
      <c r="D75" s="113"/>
      <c r="E75" s="113"/>
      <c r="F75" s="129"/>
      <c r="G75" s="143"/>
      <c r="H75" s="143"/>
      <c r="I75" s="143"/>
      <c r="J75" s="132"/>
      <c r="K75" s="132"/>
      <c r="L75" s="132"/>
      <c r="M75" s="132"/>
      <c r="N75" s="153"/>
      <c r="O75" s="413">
        <f t="shared" si="20"/>
        <v>40930</v>
      </c>
      <c r="P75" s="47"/>
      <c r="Q75" s="60"/>
      <c r="R75" s="316"/>
    </row>
    <row r="76" spans="1:18" ht="15">
      <c r="A76" s="190" t="s">
        <v>575</v>
      </c>
      <c r="B76" s="265" t="s">
        <v>476</v>
      </c>
      <c r="C76" s="409">
        <v>5000</v>
      </c>
      <c r="D76" s="113"/>
      <c r="E76" s="113"/>
      <c r="F76" s="129"/>
      <c r="G76" s="143"/>
      <c r="H76" s="143"/>
      <c r="I76" s="143"/>
      <c r="J76" s="132"/>
      <c r="K76" s="132"/>
      <c r="L76" s="132"/>
      <c r="M76" s="132"/>
      <c r="N76" s="153"/>
      <c r="O76" s="413">
        <f t="shared" si="20"/>
        <v>5000</v>
      </c>
      <c r="P76" s="47"/>
      <c r="Q76" s="60"/>
      <c r="R76" s="316"/>
    </row>
    <row r="77" spans="1:18" ht="30">
      <c r="A77" s="190" t="s">
        <v>410</v>
      </c>
      <c r="B77" s="321" t="s">
        <v>576</v>
      </c>
      <c r="C77" s="409">
        <f>121000+23000</f>
        <v>144000</v>
      </c>
      <c r="D77" s="113"/>
      <c r="E77" s="113"/>
      <c r="F77" s="129"/>
      <c r="G77" s="143"/>
      <c r="H77" s="143"/>
      <c r="I77" s="143"/>
      <c r="J77" s="132"/>
      <c r="K77" s="132"/>
      <c r="L77" s="132"/>
      <c r="M77" s="132"/>
      <c r="N77" s="153"/>
      <c r="O77" s="413">
        <f t="shared" si="20"/>
        <v>144000</v>
      </c>
      <c r="P77" s="47"/>
      <c r="Q77" s="60"/>
      <c r="R77" s="316"/>
    </row>
    <row r="78" spans="1:18" ht="60">
      <c r="A78" s="190" t="s">
        <v>411</v>
      </c>
      <c r="B78" s="321" t="s">
        <v>577</v>
      </c>
      <c r="C78" s="409">
        <v>2135178</v>
      </c>
      <c r="D78" s="113"/>
      <c r="E78" s="113"/>
      <c r="F78" s="129"/>
      <c r="G78" s="143"/>
      <c r="H78" s="143"/>
      <c r="I78" s="143"/>
      <c r="J78" s="132"/>
      <c r="K78" s="132"/>
      <c r="L78" s="132"/>
      <c r="M78" s="132"/>
      <c r="N78" s="153"/>
      <c r="O78" s="413">
        <f t="shared" si="20"/>
        <v>2135178</v>
      </c>
      <c r="P78" s="47"/>
      <c r="Q78" s="60"/>
      <c r="R78" s="316"/>
    </row>
    <row r="79" spans="1:18" ht="15">
      <c r="A79" s="173" t="s">
        <v>87</v>
      </c>
      <c r="B79" s="145" t="s">
        <v>266</v>
      </c>
      <c r="C79" s="405"/>
      <c r="D79" s="54"/>
      <c r="E79" s="54"/>
      <c r="F79" s="174"/>
      <c r="G79" s="134"/>
      <c r="H79" s="134"/>
      <c r="I79" s="134"/>
      <c r="J79" s="133">
        <v>3300</v>
      </c>
      <c r="K79" s="133"/>
      <c r="L79" s="133"/>
      <c r="M79" s="133">
        <v>1500</v>
      </c>
      <c r="N79" s="136"/>
      <c r="O79" s="406">
        <f>SUM(C79:N79)</f>
        <v>4800</v>
      </c>
      <c r="P79" s="60"/>
      <c r="Q79" s="60"/>
      <c r="R79" s="316"/>
    </row>
    <row r="80" spans="1:18" ht="15">
      <c r="A80" s="190" t="s">
        <v>412</v>
      </c>
      <c r="B80" s="322" t="s">
        <v>660</v>
      </c>
      <c r="C80" s="403"/>
      <c r="D80" s="54"/>
      <c r="E80" s="54"/>
      <c r="F80" s="174"/>
      <c r="G80" s="134"/>
      <c r="H80" s="134"/>
      <c r="I80" s="134"/>
      <c r="J80" s="133"/>
      <c r="K80" s="133"/>
      <c r="L80" s="133"/>
      <c r="M80" s="133"/>
      <c r="N80" s="136"/>
      <c r="O80" s="413">
        <f t="shared" si="20"/>
        <v>0</v>
      </c>
      <c r="P80" s="47"/>
      <c r="Q80" s="60"/>
      <c r="R80" s="316"/>
    </row>
    <row r="81" spans="1:18" ht="75">
      <c r="A81" s="190" t="s">
        <v>413</v>
      </c>
      <c r="B81" s="322" t="s">
        <v>578</v>
      </c>
      <c r="C81" s="403">
        <v>2950500</v>
      </c>
      <c r="D81" s="54"/>
      <c r="E81" s="54"/>
      <c r="F81" s="174"/>
      <c r="G81" s="134"/>
      <c r="H81" s="134"/>
      <c r="I81" s="134"/>
      <c r="J81" s="133"/>
      <c r="K81" s="133"/>
      <c r="L81" s="133"/>
      <c r="M81" s="133"/>
      <c r="N81" s="136"/>
      <c r="O81" s="413">
        <f t="shared" si="20"/>
        <v>2950500</v>
      </c>
      <c r="P81" s="47"/>
      <c r="Q81" s="60"/>
      <c r="R81" s="316"/>
    </row>
    <row r="82" spans="1:18" ht="15">
      <c r="A82" s="169" t="s">
        <v>88</v>
      </c>
      <c r="B82" s="170" t="s">
        <v>89</v>
      </c>
      <c r="C82" s="403"/>
      <c r="D82" s="38"/>
      <c r="E82" s="38"/>
      <c r="F82" s="116"/>
      <c r="G82" s="134"/>
      <c r="H82" s="134"/>
      <c r="I82" s="134"/>
      <c r="J82" s="133">
        <v>2400</v>
      </c>
      <c r="K82" s="133">
        <v>7070</v>
      </c>
      <c r="L82" s="133"/>
      <c r="M82" s="133"/>
      <c r="N82" s="136"/>
      <c r="O82" s="406">
        <f t="shared" si="15"/>
        <v>9470</v>
      </c>
      <c r="P82" s="47"/>
      <c r="Q82" s="60"/>
      <c r="R82" s="316"/>
    </row>
    <row r="83" spans="1:18" ht="15">
      <c r="A83" s="169" t="s">
        <v>579</v>
      </c>
      <c r="B83" s="170" t="s">
        <v>186</v>
      </c>
      <c r="C83" s="403">
        <f>388421</f>
        <v>388421</v>
      </c>
      <c r="D83" s="116"/>
      <c r="E83" s="38"/>
      <c r="F83" s="116"/>
      <c r="G83" s="134"/>
      <c r="H83" s="134"/>
      <c r="I83" s="134"/>
      <c r="J83" s="133">
        <v>49066</v>
      </c>
      <c r="K83" s="136"/>
      <c r="L83" s="136"/>
      <c r="M83" s="136"/>
      <c r="N83" s="136"/>
      <c r="O83" s="406">
        <f t="shared" si="15"/>
        <v>437487</v>
      </c>
      <c r="P83" s="47"/>
      <c r="Q83" s="60"/>
      <c r="R83" s="316"/>
    </row>
    <row r="84" spans="1:18" ht="15">
      <c r="A84" s="173" t="s">
        <v>90</v>
      </c>
      <c r="B84" s="145" t="s">
        <v>91</v>
      </c>
      <c r="C84" s="405">
        <f>SUM(C85:C89)</f>
        <v>6854803</v>
      </c>
      <c r="D84" s="405">
        <f aca="true" t="shared" si="22" ref="D84:J84">SUM(D85:D89)</f>
        <v>580915</v>
      </c>
      <c r="E84" s="405">
        <f t="shared" si="22"/>
        <v>0</v>
      </c>
      <c r="F84" s="405">
        <f t="shared" si="22"/>
        <v>0</v>
      </c>
      <c r="G84" s="405">
        <f t="shared" si="22"/>
        <v>84414</v>
      </c>
      <c r="H84" s="405">
        <f t="shared" si="22"/>
        <v>15818</v>
      </c>
      <c r="I84" s="405">
        <f t="shared" si="22"/>
        <v>11504</v>
      </c>
      <c r="J84" s="405">
        <f t="shared" si="22"/>
        <v>46375</v>
      </c>
      <c r="K84" s="405">
        <f>SUM(K85:K89)</f>
        <v>0</v>
      </c>
      <c r="L84" s="405">
        <f>SUM(L85:L89)</f>
        <v>0</v>
      </c>
      <c r="M84" s="405">
        <f>SUM(M85:M89)</f>
        <v>0</v>
      </c>
      <c r="N84" s="405">
        <f>SUM(N85:N89)</f>
        <v>0</v>
      </c>
      <c r="O84" s="406">
        <f t="shared" si="15"/>
        <v>7593829</v>
      </c>
      <c r="P84" s="432"/>
      <c r="Q84" s="432"/>
      <c r="R84" s="316"/>
    </row>
    <row r="85" spans="1:18" ht="15">
      <c r="A85" s="175" t="s">
        <v>267</v>
      </c>
      <c r="B85" s="115" t="s">
        <v>92</v>
      </c>
      <c r="C85" s="116">
        <f>3008925+127692-55400</f>
        <v>3081217</v>
      </c>
      <c r="D85" s="38">
        <f>338683-5926</f>
        <v>332757</v>
      </c>
      <c r="E85" s="38"/>
      <c r="F85" s="116"/>
      <c r="G85" s="121"/>
      <c r="H85" s="134"/>
      <c r="I85" s="121">
        <v>550</v>
      </c>
      <c r="J85" s="133"/>
      <c r="K85" s="133"/>
      <c r="L85" s="133"/>
      <c r="M85" s="133"/>
      <c r="N85" s="136"/>
      <c r="O85" s="406">
        <f t="shared" si="15"/>
        <v>3414524</v>
      </c>
      <c r="P85" s="47"/>
      <c r="Q85" s="60"/>
      <c r="R85" s="316"/>
    </row>
    <row r="86" spans="1:18" ht="15">
      <c r="A86" s="175" t="s">
        <v>268</v>
      </c>
      <c r="B86" s="192" t="s">
        <v>269</v>
      </c>
      <c r="C86" s="116"/>
      <c r="D86" s="38">
        <f>299145-50987</f>
        <v>248158</v>
      </c>
      <c r="E86" s="38"/>
      <c r="F86" s="116"/>
      <c r="G86" s="121">
        <f>48114+36300</f>
        <v>84414</v>
      </c>
      <c r="H86" s="121">
        <v>15818</v>
      </c>
      <c r="I86" s="121">
        <v>10954</v>
      </c>
      <c r="J86" s="133">
        <v>46375</v>
      </c>
      <c r="K86" s="133"/>
      <c r="L86" s="133"/>
      <c r="M86" s="133"/>
      <c r="N86" s="136"/>
      <c r="O86" s="406">
        <f t="shared" si="15"/>
        <v>405719</v>
      </c>
      <c r="P86" s="47"/>
      <c r="Q86" s="60"/>
      <c r="R86" s="316"/>
    </row>
    <row r="87" spans="1:18" ht="30">
      <c r="A87" s="175" t="s">
        <v>350</v>
      </c>
      <c r="B87" s="192" t="s">
        <v>580</v>
      </c>
      <c r="C87" s="116">
        <f>155970+55400</f>
        <v>211370</v>
      </c>
      <c r="D87" s="38"/>
      <c r="E87" s="38"/>
      <c r="F87" s="116"/>
      <c r="G87" s="133"/>
      <c r="H87" s="134"/>
      <c r="I87" s="134"/>
      <c r="J87" s="136"/>
      <c r="K87" s="136"/>
      <c r="L87" s="136"/>
      <c r="M87" s="136"/>
      <c r="N87" s="136"/>
      <c r="O87" s="406">
        <f t="shared" si="15"/>
        <v>211370</v>
      </c>
      <c r="P87" s="47"/>
      <c r="Q87" s="60"/>
      <c r="R87" s="316"/>
    </row>
    <row r="88" spans="1:18" ht="30">
      <c r="A88" s="175" t="s">
        <v>414</v>
      </c>
      <c r="B88" s="192" t="s">
        <v>415</v>
      </c>
      <c r="C88" s="359">
        <v>2699216</v>
      </c>
      <c r="D88" s="38"/>
      <c r="E88" s="38"/>
      <c r="F88" s="116"/>
      <c r="G88" s="133"/>
      <c r="H88" s="134"/>
      <c r="I88" s="134"/>
      <c r="J88" s="136"/>
      <c r="K88" s="136"/>
      <c r="L88" s="136"/>
      <c r="M88" s="136"/>
      <c r="N88" s="136"/>
      <c r="O88" s="406">
        <f t="shared" si="15"/>
        <v>2699216</v>
      </c>
      <c r="P88" s="47"/>
      <c r="Q88" s="60"/>
      <c r="R88" s="316"/>
    </row>
    <row r="89" spans="1:18" ht="30">
      <c r="A89" s="175" t="s">
        <v>504</v>
      </c>
      <c r="B89" s="192" t="s">
        <v>659</v>
      </c>
      <c r="C89" s="359">
        <f>1573000-710000</f>
        <v>863000</v>
      </c>
      <c r="D89" s="38"/>
      <c r="E89" s="38"/>
      <c r="F89" s="116"/>
      <c r="G89" s="133"/>
      <c r="H89" s="134"/>
      <c r="I89" s="134"/>
      <c r="J89" s="136"/>
      <c r="K89" s="136"/>
      <c r="L89" s="136"/>
      <c r="M89" s="136"/>
      <c r="N89" s="136"/>
      <c r="O89" s="406">
        <f t="shared" si="15"/>
        <v>863000</v>
      </c>
      <c r="P89" s="47"/>
      <c r="Q89" s="60"/>
      <c r="R89" s="316"/>
    </row>
    <row r="90" spans="1:18" ht="15">
      <c r="A90" s="173" t="s">
        <v>93</v>
      </c>
      <c r="B90" s="177" t="s">
        <v>94</v>
      </c>
      <c r="C90" s="405">
        <f>SUM(C91:C91)</f>
        <v>0</v>
      </c>
      <c r="D90" s="38"/>
      <c r="E90" s="38"/>
      <c r="F90" s="116"/>
      <c r="G90" s="54">
        <f aca="true" t="shared" si="23" ref="G90:N90">SUM(G91:G91)</f>
        <v>0</v>
      </c>
      <c r="H90" s="54">
        <f t="shared" si="23"/>
        <v>0</v>
      </c>
      <c r="I90" s="54">
        <f>SUM(I91:I91)</f>
        <v>0</v>
      </c>
      <c r="J90" s="174">
        <f t="shared" si="23"/>
        <v>0</v>
      </c>
      <c r="K90" s="174">
        <f t="shared" si="23"/>
        <v>0</v>
      </c>
      <c r="L90" s="174">
        <f t="shared" si="23"/>
        <v>0</v>
      </c>
      <c r="M90" s="174">
        <f t="shared" si="23"/>
        <v>0</v>
      </c>
      <c r="N90" s="174">
        <f t="shared" si="23"/>
        <v>0</v>
      </c>
      <c r="O90" s="406">
        <f t="shared" si="15"/>
        <v>0</v>
      </c>
      <c r="P90" s="47"/>
      <c r="Q90" s="60"/>
      <c r="R90" s="316"/>
    </row>
    <row r="91" spans="1:18" ht="15.75" thickBot="1">
      <c r="A91" s="175" t="s">
        <v>270</v>
      </c>
      <c r="B91" s="115" t="s">
        <v>363</v>
      </c>
      <c r="C91" s="359"/>
      <c r="D91" s="38"/>
      <c r="E91" s="38"/>
      <c r="F91" s="116"/>
      <c r="G91" s="133"/>
      <c r="H91" s="134"/>
      <c r="I91" s="134"/>
      <c r="J91" s="133"/>
      <c r="K91" s="133"/>
      <c r="L91" s="133"/>
      <c r="M91" s="133"/>
      <c r="N91" s="136"/>
      <c r="O91" s="406">
        <f t="shared" si="15"/>
        <v>0</v>
      </c>
      <c r="P91" s="47"/>
      <c r="Q91" s="60"/>
      <c r="R91" s="316"/>
    </row>
    <row r="92" spans="1:18" ht="15.75" thickBot="1">
      <c r="A92" s="186" t="s">
        <v>33</v>
      </c>
      <c r="B92" s="193" t="s">
        <v>95</v>
      </c>
      <c r="C92" s="402">
        <f>C93+C96+C99+C104</f>
        <v>5170087</v>
      </c>
      <c r="D92" s="128">
        <f aca="true" t="shared" si="24" ref="D92:N92">D93+D96+D99+D104</f>
        <v>873200</v>
      </c>
      <c r="E92" s="128">
        <f t="shared" si="24"/>
        <v>0</v>
      </c>
      <c r="F92" s="128">
        <f t="shared" si="24"/>
        <v>83470</v>
      </c>
      <c r="G92" s="128">
        <f t="shared" si="24"/>
        <v>0</v>
      </c>
      <c r="H92" s="128">
        <f t="shared" si="24"/>
        <v>0</v>
      </c>
      <c r="I92" s="128">
        <f t="shared" si="24"/>
        <v>20694</v>
      </c>
      <c r="J92" s="128">
        <f t="shared" si="24"/>
        <v>56981</v>
      </c>
      <c r="K92" s="128">
        <f t="shared" si="24"/>
        <v>1600</v>
      </c>
      <c r="L92" s="128">
        <f t="shared" si="24"/>
        <v>10253</v>
      </c>
      <c r="M92" s="128">
        <f t="shared" si="24"/>
        <v>0</v>
      </c>
      <c r="N92" s="128">
        <f t="shared" si="24"/>
        <v>12123</v>
      </c>
      <c r="O92" s="393">
        <f t="shared" si="15"/>
        <v>6228408</v>
      </c>
      <c r="P92" s="60"/>
      <c r="Q92" s="60"/>
      <c r="R92" s="316"/>
    </row>
    <row r="93" spans="1:18" ht="15">
      <c r="A93" s="169" t="s">
        <v>96</v>
      </c>
      <c r="B93" s="194" t="s">
        <v>97</v>
      </c>
      <c r="C93" s="403">
        <f>SUM(C94:C95)</f>
        <v>27975</v>
      </c>
      <c r="D93" s="171">
        <f aca="true" t="shared" si="25" ref="D93:N93">SUM(D94:D95)</f>
        <v>529162</v>
      </c>
      <c r="E93" s="171">
        <f t="shared" si="25"/>
        <v>0</v>
      </c>
      <c r="F93" s="171">
        <f t="shared" si="25"/>
        <v>26676</v>
      </c>
      <c r="G93" s="171">
        <f t="shared" si="25"/>
        <v>0</v>
      </c>
      <c r="H93" s="171">
        <f t="shared" si="25"/>
        <v>0</v>
      </c>
      <c r="I93" s="171">
        <f t="shared" si="25"/>
        <v>20694</v>
      </c>
      <c r="J93" s="171">
        <f t="shared" si="25"/>
        <v>22964</v>
      </c>
      <c r="K93" s="171">
        <f t="shared" si="25"/>
        <v>1600</v>
      </c>
      <c r="L93" s="171">
        <f t="shared" si="25"/>
        <v>4500</v>
      </c>
      <c r="M93" s="171">
        <f t="shared" si="25"/>
        <v>0</v>
      </c>
      <c r="N93" s="171">
        <f t="shared" si="25"/>
        <v>0</v>
      </c>
      <c r="O93" s="414">
        <f t="shared" si="15"/>
        <v>633571</v>
      </c>
      <c r="P93" s="60"/>
      <c r="Q93" s="60"/>
      <c r="R93" s="316"/>
    </row>
    <row r="94" spans="1:18" ht="30">
      <c r="A94" s="175" t="s">
        <v>271</v>
      </c>
      <c r="B94" s="115" t="s">
        <v>658</v>
      </c>
      <c r="C94" s="359">
        <v>8373</v>
      </c>
      <c r="D94" s="38">
        <f>492132+37030</f>
        <v>529162</v>
      </c>
      <c r="E94" s="38"/>
      <c r="F94" s="116">
        <v>26676</v>
      </c>
      <c r="G94" s="121"/>
      <c r="H94" s="134"/>
      <c r="I94" s="121">
        <v>20694</v>
      </c>
      <c r="J94" s="133">
        <v>22964</v>
      </c>
      <c r="K94" s="133">
        <v>1600</v>
      </c>
      <c r="L94" s="133">
        <v>4500</v>
      </c>
      <c r="M94" s="133"/>
      <c r="N94" s="136"/>
      <c r="O94" s="406">
        <f>SUM(C94:N94)</f>
        <v>613969</v>
      </c>
      <c r="P94" s="47"/>
      <c r="Q94" s="60"/>
      <c r="R94" s="316"/>
    </row>
    <row r="95" spans="1:18" ht="15">
      <c r="A95" s="175" t="s">
        <v>416</v>
      </c>
      <c r="B95" s="320" t="s">
        <v>417</v>
      </c>
      <c r="C95" s="359">
        <f>10000+9602</f>
        <v>19602</v>
      </c>
      <c r="D95" s="116"/>
      <c r="E95" s="116"/>
      <c r="F95" s="116"/>
      <c r="G95" s="121"/>
      <c r="H95" s="134"/>
      <c r="I95" s="134"/>
      <c r="J95" s="136"/>
      <c r="K95" s="136"/>
      <c r="L95" s="136"/>
      <c r="M95" s="136"/>
      <c r="N95" s="136"/>
      <c r="O95" s="406">
        <f>SUM(C95:N95)</f>
        <v>19602</v>
      </c>
      <c r="P95" s="47"/>
      <c r="Q95" s="60"/>
      <c r="R95" s="316"/>
    </row>
    <row r="96" spans="1:18" ht="15">
      <c r="A96" s="173" t="s">
        <v>12</v>
      </c>
      <c r="B96" s="177" t="s">
        <v>98</v>
      </c>
      <c r="C96" s="405">
        <f>SUM(C97:C98)</f>
        <v>0</v>
      </c>
      <c r="D96" s="174">
        <f>SUM(D97:D98)</f>
        <v>344038</v>
      </c>
      <c r="E96" s="174">
        <f>SUM(E97:E98)</f>
        <v>0</v>
      </c>
      <c r="F96" s="174">
        <f>SUM(F97:F98)</f>
        <v>56794</v>
      </c>
      <c r="G96" s="54">
        <f aca="true" t="shared" si="26" ref="G96:N96">SUM(G97:G98)</f>
        <v>0</v>
      </c>
      <c r="H96" s="54">
        <f t="shared" si="26"/>
        <v>0</v>
      </c>
      <c r="I96" s="54">
        <f t="shared" si="26"/>
        <v>0</v>
      </c>
      <c r="J96" s="174">
        <f t="shared" si="26"/>
        <v>34017</v>
      </c>
      <c r="K96" s="174">
        <f t="shared" si="26"/>
        <v>0</v>
      </c>
      <c r="L96" s="174">
        <f t="shared" si="26"/>
        <v>5753</v>
      </c>
      <c r="M96" s="174">
        <f t="shared" si="26"/>
        <v>0</v>
      </c>
      <c r="N96" s="174">
        <f t="shared" si="26"/>
        <v>12123</v>
      </c>
      <c r="O96" s="406">
        <f t="shared" si="15"/>
        <v>452725</v>
      </c>
      <c r="P96" s="60"/>
      <c r="Q96" s="60"/>
      <c r="R96" s="316"/>
    </row>
    <row r="97" spans="1:18" ht="15">
      <c r="A97" s="175" t="s">
        <v>272</v>
      </c>
      <c r="B97" s="192" t="s">
        <v>163</v>
      </c>
      <c r="C97" s="359"/>
      <c r="D97" s="38">
        <f>8059+10693</f>
        <v>18752</v>
      </c>
      <c r="E97" s="38"/>
      <c r="F97" s="116"/>
      <c r="G97" s="134"/>
      <c r="H97" s="134"/>
      <c r="I97" s="134"/>
      <c r="J97" s="133"/>
      <c r="K97" s="133"/>
      <c r="L97" s="133"/>
      <c r="M97" s="133"/>
      <c r="N97" s="136"/>
      <c r="O97" s="406">
        <f t="shared" si="15"/>
        <v>18752</v>
      </c>
      <c r="P97" s="47"/>
      <c r="Q97" s="60"/>
      <c r="R97" s="316"/>
    </row>
    <row r="98" spans="1:26" ht="15">
      <c r="A98" s="195" t="s">
        <v>273</v>
      </c>
      <c r="B98" s="192" t="s">
        <v>99</v>
      </c>
      <c r="C98" s="359"/>
      <c r="D98" s="38">
        <f>320363+4923</f>
        <v>325286</v>
      </c>
      <c r="E98" s="38"/>
      <c r="F98" s="116">
        <v>56794</v>
      </c>
      <c r="G98" s="121"/>
      <c r="H98" s="134"/>
      <c r="I98" s="134"/>
      <c r="J98" s="133">
        <v>34017</v>
      </c>
      <c r="K98" s="133"/>
      <c r="L98" s="133">
        <v>5753</v>
      </c>
      <c r="M98" s="133"/>
      <c r="N98" s="199">
        <v>12123</v>
      </c>
      <c r="O98" s="406">
        <f>SUM(C98:N98)</f>
        <v>433973</v>
      </c>
      <c r="P98" s="47"/>
      <c r="Q98" s="60"/>
      <c r="R98" s="316"/>
      <c r="T98" s="98"/>
      <c r="U98" s="98"/>
      <c r="V98" s="98"/>
      <c r="W98" s="98"/>
      <c r="X98" s="98"/>
      <c r="Y98" s="98"/>
      <c r="Z98" s="98"/>
    </row>
    <row r="99" spans="1:18" s="98" customFormat="1" ht="29.25">
      <c r="A99" s="173" t="s">
        <v>274</v>
      </c>
      <c r="B99" s="194" t="s">
        <v>275</v>
      </c>
      <c r="C99" s="403">
        <f>SUM(C100:C103)</f>
        <v>5142112</v>
      </c>
      <c r="D99" s="403">
        <f aca="true" t="shared" si="27" ref="D99:N99">SUM(D100:D103)</f>
        <v>0</v>
      </c>
      <c r="E99" s="403">
        <f t="shared" si="27"/>
        <v>0</v>
      </c>
      <c r="F99" s="403">
        <f t="shared" si="27"/>
        <v>0</v>
      </c>
      <c r="G99" s="403">
        <f t="shared" si="27"/>
        <v>0</v>
      </c>
      <c r="H99" s="403">
        <f t="shared" si="27"/>
        <v>0</v>
      </c>
      <c r="I99" s="403">
        <f t="shared" si="27"/>
        <v>0</v>
      </c>
      <c r="J99" s="403">
        <f t="shared" si="27"/>
        <v>0</v>
      </c>
      <c r="K99" s="403">
        <f t="shared" si="27"/>
        <v>0</v>
      </c>
      <c r="L99" s="403">
        <f t="shared" si="27"/>
        <v>0</v>
      </c>
      <c r="M99" s="403">
        <f t="shared" si="27"/>
        <v>0</v>
      </c>
      <c r="N99" s="403">
        <f t="shared" si="27"/>
        <v>0</v>
      </c>
      <c r="O99" s="406">
        <f t="shared" si="15"/>
        <v>5142112</v>
      </c>
      <c r="P99" s="432"/>
      <c r="Q99" s="432"/>
      <c r="R99" s="316"/>
    </row>
    <row r="100" spans="1:18" s="98" customFormat="1" ht="15">
      <c r="A100" s="175" t="s">
        <v>581</v>
      </c>
      <c r="B100" s="420" t="s">
        <v>582</v>
      </c>
      <c r="C100" s="403"/>
      <c r="D100" s="403"/>
      <c r="E100" s="403"/>
      <c r="F100" s="403"/>
      <c r="G100" s="403"/>
      <c r="H100" s="403"/>
      <c r="I100" s="403"/>
      <c r="J100" s="403"/>
      <c r="K100" s="403"/>
      <c r="L100" s="403"/>
      <c r="M100" s="403"/>
      <c r="N100" s="403"/>
      <c r="O100" s="406">
        <f aca="true" t="shared" si="28" ref="O100:O105">SUM(C100:N100)</f>
        <v>0</v>
      </c>
      <c r="P100" s="60"/>
      <c r="Q100" s="60"/>
      <c r="R100" s="316"/>
    </row>
    <row r="101" spans="1:18" s="98" customFormat="1" ht="45">
      <c r="A101" s="175" t="s">
        <v>418</v>
      </c>
      <c r="B101" s="320" t="s">
        <v>506</v>
      </c>
      <c r="C101" s="403">
        <v>1281579</v>
      </c>
      <c r="D101" s="171"/>
      <c r="E101" s="171"/>
      <c r="F101" s="171"/>
      <c r="G101" s="130"/>
      <c r="H101" s="171"/>
      <c r="I101" s="171"/>
      <c r="J101" s="171"/>
      <c r="K101" s="171"/>
      <c r="L101" s="171"/>
      <c r="M101" s="171"/>
      <c r="N101" s="171"/>
      <c r="O101" s="406">
        <f t="shared" si="28"/>
        <v>1281579</v>
      </c>
      <c r="P101" s="47"/>
      <c r="Q101" s="60"/>
      <c r="R101" s="316"/>
    </row>
    <row r="102" spans="1:18" s="98" customFormat="1" ht="44.25" customHeight="1">
      <c r="A102" s="175" t="s">
        <v>419</v>
      </c>
      <c r="B102" s="323" t="s">
        <v>507</v>
      </c>
      <c r="C102" s="403">
        <v>2212548</v>
      </c>
      <c r="D102" s="171"/>
      <c r="E102" s="171"/>
      <c r="F102" s="171"/>
      <c r="G102" s="130"/>
      <c r="H102" s="171"/>
      <c r="I102" s="171"/>
      <c r="J102" s="171"/>
      <c r="K102" s="171"/>
      <c r="L102" s="171"/>
      <c r="M102" s="171"/>
      <c r="N102" s="171"/>
      <c r="O102" s="406">
        <f t="shared" si="28"/>
        <v>2212548</v>
      </c>
      <c r="P102" s="47"/>
      <c r="Q102" s="60"/>
      <c r="R102" s="316"/>
    </row>
    <row r="103" spans="1:26" s="98" customFormat="1" ht="30">
      <c r="A103" s="175" t="s">
        <v>470</v>
      </c>
      <c r="B103" s="377" t="s">
        <v>656</v>
      </c>
      <c r="C103" s="403">
        <v>1647985</v>
      </c>
      <c r="D103" s="171"/>
      <c r="E103" s="171"/>
      <c r="F103" s="171"/>
      <c r="G103" s="171"/>
      <c r="H103" s="171"/>
      <c r="I103" s="171"/>
      <c r="J103" s="171"/>
      <c r="K103" s="171"/>
      <c r="L103" s="171"/>
      <c r="M103" s="171"/>
      <c r="N103" s="171"/>
      <c r="O103" s="406">
        <f t="shared" si="28"/>
        <v>1647985</v>
      </c>
      <c r="P103" s="47"/>
      <c r="Q103" s="60"/>
      <c r="R103" s="316"/>
      <c r="T103" s="94"/>
      <c r="U103" s="94"/>
      <c r="V103" s="94"/>
      <c r="W103" s="94"/>
      <c r="X103" s="94"/>
      <c r="Y103" s="94"/>
      <c r="Z103" s="94"/>
    </row>
    <row r="104" spans="1:18" ht="29.25">
      <c r="A104" s="169" t="s">
        <v>276</v>
      </c>
      <c r="B104" s="194" t="s">
        <v>277</v>
      </c>
      <c r="C104" s="403">
        <f>SUM(C105)</f>
        <v>0</v>
      </c>
      <c r="D104" s="403">
        <f aca="true" t="shared" si="29" ref="D104:N104">SUM(D105)</f>
        <v>0</v>
      </c>
      <c r="E104" s="403">
        <f t="shared" si="29"/>
        <v>0</v>
      </c>
      <c r="F104" s="403">
        <f t="shared" si="29"/>
        <v>0</v>
      </c>
      <c r="G104" s="403">
        <f t="shared" si="29"/>
        <v>0</v>
      </c>
      <c r="H104" s="403">
        <f t="shared" si="29"/>
        <v>0</v>
      </c>
      <c r="I104" s="403">
        <f t="shared" si="29"/>
        <v>0</v>
      </c>
      <c r="J104" s="403">
        <f t="shared" si="29"/>
        <v>0</v>
      </c>
      <c r="K104" s="403">
        <f t="shared" si="29"/>
        <v>0</v>
      </c>
      <c r="L104" s="403">
        <f t="shared" si="29"/>
        <v>0</v>
      </c>
      <c r="M104" s="403">
        <f t="shared" si="29"/>
        <v>0</v>
      </c>
      <c r="N104" s="403">
        <f t="shared" si="29"/>
        <v>0</v>
      </c>
      <c r="O104" s="406">
        <f t="shared" si="28"/>
        <v>0</v>
      </c>
      <c r="P104" s="47"/>
      <c r="Q104" s="60"/>
      <c r="R104" s="316"/>
    </row>
    <row r="105" spans="1:18" ht="30.75" thickBot="1">
      <c r="A105" s="175" t="s">
        <v>583</v>
      </c>
      <c r="B105" s="191" t="s">
        <v>657</v>
      </c>
      <c r="C105" s="403"/>
      <c r="D105" s="171"/>
      <c r="E105" s="171"/>
      <c r="F105" s="171"/>
      <c r="G105" s="171"/>
      <c r="H105" s="171"/>
      <c r="I105" s="171"/>
      <c r="J105" s="171"/>
      <c r="K105" s="171"/>
      <c r="L105" s="171"/>
      <c r="M105" s="171"/>
      <c r="N105" s="171"/>
      <c r="O105" s="406">
        <f t="shared" si="28"/>
        <v>0</v>
      </c>
      <c r="P105" s="47"/>
      <c r="Q105" s="60"/>
      <c r="R105" s="316"/>
    </row>
    <row r="106" spans="1:18" ht="30" thickBot="1">
      <c r="A106" s="186" t="s">
        <v>13</v>
      </c>
      <c r="B106" s="193" t="s">
        <v>100</v>
      </c>
      <c r="C106" s="402">
        <f>SUM(C107:C113)</f>
        <v>1251778</v>
      </c>
      <c r="D106" s="128">
        <f>SUM(D107:D113)</f>
        <v>10801814</v>
      </c>
      <c r="E106" s="128">
        <f>SUM(E107:E113)</f>
        <v>0</v>
      </c>
      <c r="F106" s="128">
        <f>SUM(F107:F113)</f>
        <v>281480</v>
      </c>
      <c r="G106" s="109">
        <f aca="true" t="shared" si="30" ref="G106:N106">SUM(G107:G113)</f>
        <v>38454</v>
      </c>
      <c r="H106" s="109">
        <f t="shared" si="30"/>
        <v>195135</v>
      </c>
      <c r="I106" s="109">
        <f t="shared" si="30"/>
        <v>182279</v>
      </c>
      <c r="J106" s="128">
        <f t="shared" si="30"/>
        <v>298354</v>
      </c>
      <c r="K106" s="128">
        <f t="shared" si="30"/>
        <v>50002</v>
      </c>
      <c r="L106" s="128">
        <f t="shared" si="30"/>
        <v>117048</v>
      </c>
      <c r="M106" s="128">
        <f t="shared" si="30"/>
        <v>100759</v>
      </c>
      <c r="N106" s="128">
        <f t="shared" si="30"/>
        <v>108651</v>
      </c>
      <c r="O106" s="393">
        <f t="shared" si="15"/>
        <v>13425754</v>
      </c>
      <c r="P106" s="60"/>
      <c r="Q106" s="60"/>
      <c r="R106" s="316"/>
    </row>
    <row r="107" spans="1:18" ht="15">
      <c r="A107" s="169" t="s">
        <v>343</v>
      </c>
      <c r="B107" s="194" t="s">
        <v>584</v>
      </c>
      <c r="C107" s="403"/>
      <c r="D107" s="130"/>
      <c r="E107" s="113"/>
      <c r="F107" s="129"/>
      <c r="G107" s="143"/>
      <c r="H107" s="221"/>
      <c r="I107" s="143"/>
      <c r="J107" s="132"/>
      <c r="K107" s="132"/>
      <c r="L107" s="132"/>
      <c r="M107" s="132"/>
      <c r="N107" s="153"/>
      <c r="O107" s="404">
        <f t="shared" si="15"/>
        <v>0</v>
      </c>
      <c r="P107" s="47"/>
      <c r="Q107" s="60"/>
      <c r="R107" s="316"/>
    </row>
    <row r="108" spans="1:18" ht="15">
      <c r="A108" s="190" t="s">
        <v>421</v>
      </c>
      <c r="B108" s="191" t="s">
        <v>187</v>
      </c>
      <c r="C108" s="403"/>
      <c r="D108" s="130"/>
      <c r="E108" s="113"/>
      <c r="F108" s="129"/>
      <c r="G108" s="143"/>
      <c r="H108" s="101"/>
      <c r="I108" s="143"/>
      <c r="J108" s="132"/>
      <c r="K108" s="132"/>
      <c r="L108" s="132"/>
      <c r="M108" s="132"/>
      <c r="N108" s="153"/>
      <c r="O108" s="395">
        <f t="shared" si="15"/>
        <v>0</v>
      </c>
      <c r="P108" s="47"/>
      <c r="Q108" s="60"/>
      <c r="R108" s="316"/>
    </row>
    <row r="109" spans="1:18" ht="15">
      <c r="A109" s="173" t="s">
        <v>585</v>
      </c>
      <c r="B109" s="177" t="s">
        <v>278</v>
      </c>
      <c r="C109" s="116">
        <f>130828+91466</f>
        <v>222294</v>
      </c>
      <c r="D109" s="54"/>
      <c r="E109" s="38"/>
      <c r="F109" s="116"/>
      <c r="G109" s="134"/>
      <c r="H109" s="134"/>
      <c r="I109" s="134"/>
      <c r="J109" s="133"/>
      <c r="K109" s="133"/>
      <c r="L109" s="133"/>
      <c r="M109" s="133"/>
      <c r="N109" s="136"/>
      <c r="O109" s="406">
        <f t="shared" si="15"/>
        <v>222294</v>
      </c>
      <c r="P109" s="47"/>
      <c r="Q109" s="60"/>
      <c r="R109" s="316"/>
    </row>
    <row r="110" spans="1:18" ht="15">
      <c r="A110" s="173" t="s">
        <v>101</v>
      </c>
      <c r="B110" s="177" t="s">
        <v>102</v>
      </c>
      <c r="C110" s="359"/>
      <c r="D110" s="38">
        <f>152800-14652+18007</f>
        <v>156155</v>
      </c>
      <c r="E110" s="38"/>
      <c r="F110" s="116">
        <v>39420</v>
      </c>
      <c r="G110" s="121"/>
      <c r="H110" s="134"/>
      <c r="I110" s="121">
        <v>15773</v>
      </c>
      <c r="J110" s="133">
        <v>45910</v>
      </c>
      <c r="K110" s="133"/>
      <c r="L110" s="133">
        <v>5244</v>
      </c>
      <c r="M110" s="133">
        <v>91605</v>
      </c>
      <c r="N110" s="136">
        <v>6900</v>
      </c>
      <c r="O110" s="406">
        <f t="shared" si="15"/>
        <v>361007</v>
      </c>
      <c r="P110" s="47"/>
      <c r="Q110" s="60"/>
      <c r="R110" s="316"/>
    </row>
    <row r="111" spans="1:18" ht="15">
      <c r="A111" s="175" t="s">
        <v>279</v>
      </c>
      <c r="B111" s="192" t="s">
        <v>586</v>
      </c>
      <c r="C111" s="359"/>
      <c r="D111" s="54"/>
      <c r="E111" s="38"/>
      <c r="F111" s="116"/>
      <c r="G111" s="121"/>
      <c r="H111" s="134"/>
      <c r="I111" s="121"/>
      <c r="J111" s="133"/>
      <c r="K111" s="133"/>
      <c r="L111" s="133"/>
      <c r="M111" s="133"/>
      <c r="N111" s="136"/>
      <c r="O111" s="406">
        <f t="shared" si="15"/>
        <v>0</v>
      </c>
      <c r="P111" s="47"/>
      <c r="Q111" s="60"/>
      <c r="R111" s="316"/>
    </row>
    <row r="112" spans="1:18" ht="15">
      <c r="A112" s="173" t="s">
        <v>103</v>
      </c>
      <c r="B112" s="177" t="s">
        <v>104</v>
      </c>
      <c r="C112" s="405">
        <v>275236</v>
      </c>
      <c r="D112" s="38">
        <f>152277+5926</f>
        <v>158203</v>
      </c>
      <c r="E112" s="38"/>
      <c r="F112" s="116"/>
      <c r="G112" s="121">
        <v>5400</v>
      </c>
      <c r="H112" s="121">
        <v>690</v>
      </c>
      <c r="I112" s="134"/>
      <c r="J112" s="133">
        <v>4225</v>
      </c>
      <c r="K112" s="133"/>
      <c r="L112" s="133"/>
      <c r="M112" s="133">
        <v>1000</v>
      </c>
      <c r="N112" s="136"/>
      <c r="O112" s="406">
        <f t="shared" si="15"/>
        <v>444754</v>
      </c>
      <c r="P112" s="47"/>
      <c r="Q112" s="60"/>
      <c r="R112" s="316"/>
    </row>
    <row r="113" spans="1:18" ht="43.5">
      <c r="A113" s="173" t="s">
        <v>105</v>
      </c>
      <c r="B113" s="177" t="s">
        <v>106</v>
      </c>
      <c r="C113" s="405">
        <f>SUM(C114:C130)</f>
        <v>754248</v>
      </c>
      <c r="D113" s="174">
        <f aca="true" t="shared" si="31" ref="D113:N113">SUM(D114:D130)</f>
        <v>10487456</v>
      </c>
      <c r="E113" s="405">
        <f t="shared" si="31"/>
        <v>0</v>
      </c>
      <c r="F113" s="405">
        <f t="shared" si="31"/>
        <v>242060</v>
      </c>
      <c r="G113" s="405">
        <f t="shared" si="31"/>
        <v>33054</v>
      </c>
      <c r="H113" s="405">
        <f t="shared" si="31"/>
        <v>194445</v>
      </c>
      <c r="I113" s="405">
        <f t="shared" si="31"/>
        <v>166506</v>
      </c>
      <c r="J113" s="405">
        <f t="shared" si="31"/>
        <v>248219</v>
      </c>
      <c r="K113" s="405">
        <f t="shared" si="31"/>
        <v>50002</v>
      </c>
      <c r="L113" s="405">
        <f t="shared" si="31"/>
        <v>111804</v>
      </c>
      <c r="M113" s="405">
        <f t="shared" si="31"/>
        <v>8154</v>
      </c>
      <c r="N113" s="405">
        <f t="shared" si="31"/>
        <v>101751</v>
      </c>
      <c r="O113" s="406">
        <f>SUM(C113:N113)</f>
        <v>12397699</v>
      </c>
      <c r="P113" s="432"/>
      <c r="Q113" s="432"/>
      <c r="R113" s="316"/>
    </row>
    <row r="114" spans="1:18" ht="15">
      <c r="A114" s="175" t="s">
        <v>280</v>
      </c>
      <c r="B114" s="192" t="s">
        <v>590</v>
      </c>
      <c r="C114" s="359"/>
      <c r="D114" s="38">
        <f>5568285+791390+8349+6538-1968</f>
        <v>6372594</v>
      </c>
      <c r="E114" s="38"/>
      <c r="F114" s="116">
        <f>50127+24133</f>
        <v>74260</v>
      </c>
      <c r="G114" s="232"/>
      <c r="H114" s="131">
        <v>164563</v>
      </c>
      <c r="I114" s="121">
        <v>7295</v>
      </c>
      <c r="J114" s="133"/>
      <c r="K114" s="133">
        <v>28461</v>
      </c>
      <c r="L114" s="133"/>
      <c r="M114" s="133"/>
      <c r="N114" s="133">
        <v>101751</v>
      </c>
      <c r="O114" s="406">
        <f t="shared" si="15"/>
        <v>6748924</v>
      </c>
      <c r="P114" s="47"/>
      <c r="Q114" s="60"/>
      <c r="R114" s="316"/>
    </row>
    <row r="115" spans="1:18" ht="15">
      <c r="A115" s="175" t="s">
        <v>281</v>
      </c>
      <c r="B115" s="192" t="s">
        <v>591</v>
      </c>
      <c r="C115" s="359"/>
      <c r="D115" s="38">
        <f>4166364-104048</f>
        <v>4062316</v>
      </c>
      <c r="E115" s="38"/>
      <c r="F115" s="116">
        <v>167800</v>
      </c>
      <c r="G115" s="232"/>
      <c r="H115" s="134"/>
      <c r="I115" s="121">
        <v>80689</v>
      </c>
      <c r="J115" s="133">
        <v>120514</v>
      </c>
      <c r="K115" s="133"/>
      <c r="L115" s="133"/>
      <c r="M115" s="133"/>
      <c r="N115" s="136"/>
      <c r="O115" s="406">
        <f t="shared" si="15"/>
        <v>4431319</v>
      </c>
      <c r="P115" s="47"/>
      <c r="Q115" s="60"/>
      <c r="R115" s="316"/>
    </row>
    <row r="116" spans="1:18" ht="15">
      <c r="A116" s="175" t="s">
        <v>282</v>
      </c>
      <c r="B116" s="192" t="s">
        <v>592</v>
      </c>
      <c r="C116" s="359">
        <v>5620</v>
      </c>
      <c r="D116" s="38">
        <f>52546</f>
        <v>52546</v>
      </c>
      <c r="E116" s="38"/>
      <c r="F116" s="116"/>
      <c r="G116" s="121">
        <v>11462</v>
      </c>
      <c r="H116" s="134"/>
      <c r="I116" s="134"/>
      <c r="J116" s="133">
        <v>13192</v>
      </c>
      <c r="K116" s="133">
        <v>21541</v>
      </c>
      <c r="L116" s="133"/>
      <c r="M116" s="133">
        <v>8154</v>
      </c>
      <c r="N116" s="136"/>
      <c r="O116" s="406">
        <f t="shared" si="15"/>
        <v>112515</v>
      </c>
      <c r="P116" s="47"/>
      <c r="Q116" s="60"/>
      <c r="R116" s="316"/>
    </row>
    <row r="117" spans="1:18" ht="15">
      <c r="A117" s="175" t="s">
        <v>587</v>
      </c>
      <c r="B117" s="191" t="s">
        <v>589</v>
      </c>
      <c r="C117" s="129"/>
      <c r="D117" s="38"/>
      <c r="E117" s="38"/>
      <c r="F117" s="116"/>
      <c r="G117" s="121"/>
      <c r="H117" s="134"/>
      <c r="I117" s="134"/>
      <c r="J117" s="133"/>
      <c r="K117" s="133"/>
      <c r="L117" s="133"/>
      <c r="M117" s="133"/>
      <c r="N117" s="136"/>
      <c r="O117" s="406">
        <f>SUM(C117:N117)</f>
        <v>0</v>
      </c>
      <c r="P117" s="47"/>
      <c r="Q117" s="60"/>
      <c r="R117" s="316"/>
    </row>
    <row r="118" spans="1:18" ht="30">
      <c r="A118" s="175" t="s">
        <v>283</v>
      </c>
      <c r="B118" s="192" t="s">
        <v>588</v>
      </c>
      <c r="C118" s="409">
        <v>43300</v>
      </c>
      <c r="D118" s="38"/>
      <c r="E118" s="38"/>
      <c r="F118" s="116"/>
      <c r="G118" s="134"/>
      <c r="H118" s="134"/>
      <c r="I118" s="134"/>
      <c r="J118" s="133"/>
      <c r="K118" s="133"/>
      <c r="L118" s="133"/>
      <c r="M118" s="133"/>
      <c r="N118" s="136"/>
      <c r="O118" s="406">
        <f>SUM(C118:N118)</f>
        <v>43300</v>
      </c>
      <c r="P118" s="47"/>
      <c r="Q118" s="60"/>
      <c r="R118" s="316"/>
    </row>
    <row r="119" spans="1:18" ht="30">
      <c r="A119" s="175" t="s">
        <v>284</v>
      </c>
      <c r="B119" s="191" t="s">
        <v>364</v>
      </c>
      <c r="C119" s="409">
        <v>40000</v>
      </c>
      <c r="D119" s="38"/>
      <c r="E119" s="38"/>
      <c r="F119" s="116"/>
      <c r="G119" s="121">
        <v>6498</v>
      </c>
      <c r="H119" s="134"/>
      <c r="I119" s="121">
        <v>8000</v>
      </c>
      <c r="J119" s="133">
        <v>4568</v>
      </c>
      <c r="K119" s="133"/>
      <c r="L119" s="133"/>
      <c r="M119" s="133"/>
      <c r="N119" s="136"/>
      <c r="O119" s="406">
        <f>SUM(C119:N119)</f>
        <v>59066</v>
      </c>
      <c r="P119" s="47"/>
      <c r="Q119" s="60"/>
      <c r="R119" s="316"/>
    </row>
    <row r="120" spans="1:18" ht="15">
      <c r="A120" s="175" t="s">
        <v>285</v>
      </c>
      <c r="B120" s="197" t="s">
        <v>188</v>
      </c>
      <c r="C120" s="359">
        <v>35000</v>
      </c>
      <c r="D120" s="116"/>
      <c r="E120" s="116"/>
      <c r="F120" s="116"/>
      <c r="G120" s="121">
        <v>15094</v>
      </c>
      <c r="H120" s="134"/>
      <c r="I120" s="121">
        <v>70522</v>
      </c>
      <c r="J120" s="133"/>
      <c r="K120" s="133"/>
      <c r="L120" s="133"/>
      <c r="M120" s="133"/>
      <c r="N120" s="136"/>
      <c r="O120" s="406">
        <f aca="true" t="shared" si="32" ref="O120:O187">SUM(C120:N120)</f>
        <v>120616</v>
      </c>
      <c r="P120" s="47"/>
      <c r="Q120" s="60"/>
      <c r="R120" s="316"/>
    </row>
    <row r="121" spans="1:18" ht="17.25" customHeight="1">
      <c r="A121" s="175" t="s">
        <v>286</v>
      </c>
      <c r="B121" s="192" t="s">
        <v>593</v>
      </c>
      <c r="C121" s="38">
        <f>3000+19335</f>
        <v>22335</v>
      </c>
      <c r="D121" s="38"/>
      <c r="E121" s="38"/>
      <c r="F121" s="116"/>
      <c r="G121" s="134"/>
      <c r="H121" s="134"/>
      <c r="I121" s="134"/>
      <c r="J121" s="133"/>
      <c r="K121" s="133"/>
      <c r="L121" s="133"/>
      <c r="M121" s="133"/>
      <c r="N121" s="136"/>
      <c r="O121" s="406">
        <f t="shared" si="32"/>
        <v>22335</v>
      </c>
      <c r="P121" s="47"/>
      <c r="Q121" s="60"/>
      <c r="R121" s="316"/>
    </row>
    <row r="122" spans="1:18" ht="15">
      <c r="A122" s="175" t="s">
        <v>287</v>
      </c>
      <c r="B122" s="192" t="s">
        <v>288</v>
      </c>
      <c r="C122" s="359"/>
      <c r="D122" s="116"/>
      <c r="E122" s="116"/>
      <c r="F122" s="116"/>
      <c r="G122" s="134"/>
      <c r="H122" s="121">
        <v>29882</v>
      </c>
      <c r="I122" s="134"/>
      <c r="J122" s="242">
        <v>109945</v>
      </c>
      <c r="K122" s="136"/>
      <c r="L122" s="133">
        <v>74709</v>
      </c>
      <c r="M122" s="133"/>
      <c r="N122" s="199"/>
      <c r="O122" s="406">
        <f t="shared" si="32"/>
        <v>214536</v>
      </c>
      <c r="P122" s="47"/>
      <c r="Q122" s="60"/>
      <c r="R122" s="316"/>
    </row>
    <row r="123" spans="1:18" ht="30">
      <c r="A123" s="175" t="s">
        <v>354</v>
      </c>
      <c r="B123" s="192" t="s">
        <v>652</v>
      </c>
      <c r="C123" s="359">
        <v>135387</v>
      </c>
      <c r="D123" s="116"/>
      <c r="E123" s="116"/>
      <c r="F123" s="116"/>
      <c r="G123" s="134"/>
      <c r="H123" s="121"/>
      <c r="I123" s="134"/>
      <c r="J123" s="242"/>
      <c r="K123" s="136"/>
      <c r="L123" s="133"/>
      <c r="M123" s="133"/>
      <c r="N123" s="199"/>
      <c r="O123" s="406">
        <f t="shared" si="32"/>
        <v>135387</v>
      </c>
      <c r="P123" s="47"/>
      <c r="Q123" s="60"/>
      <c r="R123" s="316"/>
    </row>
    <row r="124" spans="1:18" ht="15">
      <c r="A124" s="175" t="s">
        <v>638</v>
      </c>
      <c r="B124" s="191" t="s">
        <v>589</v>
      </c>
      <c r="C124" s="116">
        <f>89000+2000</f>
        <v>91000</v>
      </c>
      <c r="D124" s="116"/>
      <c r="E124" s="116"/>
      <c r="F124" s="116"/>
      <c r="G124" s="134"/>
      <c r="H124" s="121"/>
      <c r="I124" s="134"/>
      <c r="J124" s="242"/>
      <c r="K124" s="136"/>
      <c r="L124" s="133"/>
      <c r="M124" s="133"/>
      <c r="N124" s="199"/>
      <c r="O124" s="406">
        <f t="shared" si="32"/>
        <v>91000</v>
      </c>
      <c r="P124" s="47"/>
      <c r="Q124" s="60"/>
      <c r="R124" s="316"/>
    </row>
    <row r="125" spans="1:18" ht="15">
      <c r="A125" s="175" t="s">
        <v>386</v>
      </c>
      <c r="B125" s="192" t="s">
        <v>422</v>
      </c>
      <c r="C125" s="243">
        <v>2300</v>
      </c>
      <c r="D125" s="38"/>
      <c r="E125" s="38"/>
      <c r="F125" s="116"/>
      <c r="G125" s="134"/>
      <c r="H125" s="134"/>
      <c r="I125" s="134"/>
      <c r="J125" s="242"/>
      <c r="K125" s="133"/>
      <c r="L125" s="133"/>
      <c r="M125" s="133"/>
      <c r="N125" s="199"/>
      <c r="O125" s="406">
        <f t="shared" si="32"/>
        <v>2300</v>
      </c>
      <c r="P125" s="47"/>
      <c r="Q125" s="60"/>
      <c r="R125" s="316"/>
    </row>
    <row r="126" spans="1:18" ht="30">
      <c r="A126" s="416" t="s">
        <v>468</v>
      </c>
      <c r="B126" s="417" t="s">
        <v>653</v>
      </c>
      <c r="C126" s="359">
        <f>106015+76883</f>
        <v>182898</v>
      </c>
      <c r="D126" s="116"/>
      <c r="E126" s="116"/>
      <c r="F126" s="116"/>
      <c r="G126" s="134"/>
      <c r="H126" s="203"/>
      <c r="I126" s="203"/>
      <c r="J126" s="418"/>
      <c r="K126" s="136"/>
      <c r="L126" s="136"/>
      <c r="M126" s="136"/>
      <c r="N126" s="199"/>
      <c r="O126" s="394">
        <f t="shared" si="32"/>
        <v>182898</v>
      </c>
      <c r="P126" s="47"/>
      <c r="Q126" s="60"/>
      <c r="R126" s="316"/>
    </row>
    <row r="127" spans="1:18" ht="30">
      <c r="A127" s="416" t="s">
        <v>469</v>
      </c>
      <c r="B127" s="419" t="s">
        <v>654</v>
      </c>
      <c r="C127" s="409">
        <v>31065</v>
      </c>
      <c r="D127" s="129"/>
      <c r="E127" s="129"/>
      <c r="F127" s="129"/>
      <c r="G127" s="196"/>
      <c r="H127" s="196"/>
      <c r="I127" s="196"/>
      <c r="J127" s="415"/>
      <c r="K127" s="153"/>
      <c r="L127" s="153"/>
      <c r="M127" s="153"/>
      <c r="N127" s="153"/>
      <c r="O127" s="394">
        <f t="shared" si="32"/>
        <v>31065</v>
      </c>
      <c r="P127" s="47"/>
      <c r="Q127" s="60"/>
      <c r="R127" s="316"/>
    </row>
    <row r="128" spans="1:18" ht="90">
      <c r="A128" s="175" t="s">
        <v>508</v>
      </c>
      <c r="B128" s="192" t="s">
        <v>667</v>
      </c>
      <c r="C128" s="359">
        <v>150000</v>
      </c>
      <c r="D128" s="116"/>
      <c r="E128" s="116"/>
      <c r="F128" s="116"/>
      <c r="G128" s="203"/>
      <c r="H128" s="203"/>
      <c r="I128" s="203"/>
      <c r="J128" s="418"/>
      <c r="K128" s="136"/>
      <c r="L128" s="136"/>
      <c r="M128" s="136"/>
      <c r="N128" s="199"/>
      <c r="O128" s="394">
        <f t="shared" si="32"/>
        <v>150000</v>
      </c>
      <c r="P128" s="47"/>
      <c r="Q128" s="60"/>
      <c r="R128" s="316"/>
    </row>
    <row r="129" spans="1:18" ht="15">
      <c r="A129" s="175" t="s">
        <v>666</v>
      </c>
      <c r="B129" s="192" t="s">
        <v>655</v>
      </c>
      <c r="C129" s="359"/>
      <c r="D129" s="116"/>
      <c r="E129" s="116"/>
      <c r="F129" s="116"/>
      <c r="G129" s="203"/>
      <c r="H129" s="203"/>
      <c r="I129" s="203"/>
      <c r="J129" s="418"/>
      <c r="K129" s="136"/>
      <c r="L129" s="133">
        <v>37095</v>
      </c>
      <c r="M129" s="136"/>
      <c r="N129" s="199"/>
      <c r="O129" s="394">
        <f t="shared" si="32"/>
        <v>37095</v>
      </c>
      <c r="P129" s="47"/>
      <c r="Q129" s="60"/>
      <c r="R129" s="316"/>
    </row>
    <row r="130" spans="1:18" ht="30.75" thickBot="1">
      <c r="A130" s="485" t="s">
        <v>710</v>
      </c>
      <c r="B130" s="192" t="s">
        <v>711</v>
      </c>
      <c r="C130" s="147">
        <v>15343</v>
      </c>
      <c r="D130" s="147"/>
      <c r="E130" s="147"/>
      <c r="F130" s="147"/>
      <c r="G130" s="363"/>
      <c r="H130" s="363"/>
      <c r="I130" s="363"/>
      <c r="J130" s="421"/>
      <c r="K130" s="198"/>
      <c r="L130" s="198"/>
      <c r="M130" s="198"/>
      <c r="N130" s="198"/>
      <c r="O130" s="394">
        <f t="shared" si="32"/>
        <v>15343</v>
      </c>
      <c r="P130" s="47"/>
      <c r="Q130" s="60"/>
      <c r="R130" s="316"/>
    </row>
    <row r="131" spans="1:26" ht="15.75" thickBot="1">
      <c r="A131" s="186" t="s">
        <v>14</v>
      </c>
      <c r="B131" s="108" t="s">
        <v>107</v>
      </c>
      <c r="C131" s="402">
        <f>SUM(C132+C134)</f>
        <v>109200</v>
      </c>
      <c r="D131" s="402">
        <f aca="true" t="shared" si="33" ref="D131:N131">SUM(D132+D134)</f>
        <v>0</v>
      </c>
      <c r="E131" s="402">
        <f t="shared" si="33"/>
        <v>0</v>
      </c>
      <c r="F131" s="402">
        <f t="shared" si="33"/>
        <v>0</v>
      </c>
      <c r="G131" s="402">
        <f t="shared" si="33"/>
        <v>1954</v>
      </c>
      <c r="H131" s="402">
        <f t="shared" si="33"/>
        <v>0</v>
      </c>
      <c r="I131" s="402">
        <f t="shared" si="33"/>
        <v>0</v>
      </c>
      <c r="J131" s="402">
        <f t="shared" si="33"/>
        <v>0</v>
      </c>
      <c r="K131" s="402">
        <f t="shared" si="33"/>
        <v>3150</v>
      </c>
      <c r="L131" s="402">
        <f t="shared" si="33"/>
        <v>21705</v>
      </c>
      <c r="M131" s="402">
        <f t="shared" si="33"/>
        <v>600</v>
      </c>
      <c r="N131" s="402">
        <f t="shared" si="33"/>
        <v>1240</v>
      </c>
      <c r="O131" s="393">
        <f>SUM(C131:N131)</f>
        <v>137849</v>
      </c>
      <c r="P131" s="432"/>
      <c r="Q131" s="432"/>
      <c r="R131" s="316"/>
      <c r="T131" s="98"/>
      <c r="U131" s="98"/>
      <c r="V131" s="98"/>
      <c r="W131" s="98"/>
      <c r="X131" s="98"/>
      <c r="Y131" s="98"/>
      <c r="Z131" s="98"/>
    </row>
    <row r="132" spans="1:26" s="98" customFormat="1" ht="15">
      <c r="A132" s="169" t="s">
        <v>108</v>
      </c>
      <c r="B132" s="170" t="s">
        <v>109</v>
      </c>
      <c r="C132" s="403">
        <f>SUM(C133:C133)</f>
        <v>0</v>
      </c>
      <c r="D132" s="171">
        <f aca="true" t="shared" si="34" ref="D132:N132">SUM(D133:D133)</f>
        <v>0</v>
      </c>
      <c r="E132" s="171">
        <f t="shared" si="34"/>
        <v>0</v>
      </c>
      <c r="F132" s="171">
        <f t="shared" si="34"/>
        <v>0</v>
      </c>
      <c r="G132" s="130">
        <f t="shared" si="34"/>
        <v>1954</v>
      </c>
      <c r="H132" s="171">
        <f t="shared" si="34"/>
        <v>0</v>
      </c>
      <c r="I132" s="171">
        <f t="shared" si="34"/>
        <v>0</v>
      </c>
      <c r="J132" s="171">
        <f t="shared" si="34"/>
        <v>0</v>
      </c>
      <c r="K132" s="171">
        <f t="shared" si="34"/>
        <v>3150</v>
      </c>
      <c r="L132" s="171">
        <f t="shared" si="34"/>
        <v>21705</v>
      </c>
      <c r="M132" s="171">
        <f t="shared" si="34"/>
        <v>600</v>
      </c>
      <c r="N132" s="171">
        <f t="shared" si="34"/>
        <v>1240</v>
      </c>
      <c r="O132" s="394">
        <f>SUM(C132:N132)</f>
        <v>28649</v>
      </c>
      <c r="P132" s="47"/>
      <c r="Q132" s="60"/>
      <c r="R132" s="316"/>
      <c r="T132" s="94"/>
      <c r="U132" s="94"/>
      <c r="V132" s="94"/>
      <c r="W132" s="94"/>
      <c r="X132" s="94"/>
      <c r="Y132" s="94"/>
      <c r="Z132" s="94"/>
    </row>
    <row r="133" spans="1:18" ht="15">
      <c r="A133" s="175" t="s">
        <v>594</v>
      </c>
      <c r="B133" s="115" t="s">
        <v>189</v>
      </c>
      <c r="C133" s="359"/>
      <c r="D133" s="38"/>
      <c r="E133" s="38"/>
      <c r="F133" s="116"/>
      <c r="G133" s="121">
        <v>1954</v>
      </c>
      <c r="H133" s="134"/>
      <c r="I133" s="134"/>
      <c r="J133" s="133"/>
      <c r="K133" s="133">
        <v>3150</v>
      </c>
      <c r="L133" s="133">
        <v>21705</v>
      </c>
      <c r="M133" s="133">
        <v>600</v>
      </c>
      <c r="N133" s="136">
        <v>1240</v>
      </c>
      <c r="O133" s="406">
        <f t="shared" si="32"/>
        <v>28649</v>
      </c>
      <c r="P133" s="47"/>
      <c r="Q133" s="60"/>
      <c r="R133" s="316"/>
    </row>
    <row r="134" spans="1:18" ht="31.5" customHeight="1" thickBot="1">
      <c r="A134" s="175" t="s">
        <v>509</v>
      </c>
      <c r="B134" s="422" t="s">
        <v>662</v>
      </c>
      <c r="C134" s="410">
        <v>109200</v>
      </c>
      <c r="D134" s="147"/>
      <c r="E134" s="147"/>
      <c r="F134" s="147"/>
      <c r="G134" s="423"/>
      <c r="H134" s="363"/>
      <c r="I134" s="363"/>
      <c r="J134" s="198"/>
      <c r="K134" s="198"/>
      <c r="L134" s="198"/>
      <c r="M134" s="198"/>
      <c r="N134" s="198"/>
      <c r="O134" s="406">
        <f t="shared" si="32"/>
        <v>109200</v>
      </c>
      <c r="P134" s="47"/>
      <c r="Q134" s="60"/>
      <c r="R134" s="316"/>
    </row>
    <row r="135" spans="1:18" ht="15.75" thickBot="1">
      <c r="A135" s="186" t="s">
        <v>16</v>
      </c>
      <c r="B135" s="108" t="s">
        <v>110</v>
      </c>
      <c r="C135" s="402">
        <f>C136+C140+C160+C163</f>
        <v>2680290</v>
      </c>
      <c r="D135" s="402">
        <f aca="true" t="shared" si="35" ref="D135:N135">D136+D140+D161+D162+D163</f>
        <v>326713</v>
      </c>
      <c r="E135" s="402">
        <f t="shared" si="35"/>
        <v>1318160</v>
      </c>
      <c r="F135" s="402">
        <f t="shared" si="35"/>
        <v>0</v>
      </c>
      <c r="G135" s="402">
        <f t="shared" si="35"/>
        <v>245470</v>
      </c>
      <c r="H135" s="402">
        <f t="shared" si="35"/>
        <v>66862</v>
      </c>
      <c r="I135" s="402">
        <f t="shared" si="35"/>
        <v>173090</v>
      </c>
      <c r="J135" s="402">
        <f t="shared" si="35"/>
        <v>248684</v>
      </c>
      <c r="K135" s="402">
        <f t="shared" si="35"/>
        <v>33192</v>
      </c>
      <c r="L135" s="402">
        <f t="shared" si="35"/>
        <v>30733</v>
      </c>
      <c r="M135" s="402">
        <f t="shared" si="35"/>
        <v>87168</v>
      </c>
      <c r="N135" s="402">
        <f t="shared" si="35"/>
        <v>60323</v>
      </c>
      <c r="O135" s="393">
        <f t="shared" si="32"/>
        <v>5270685</v>
      </c>
      <c r="P135" s="432"/>
      <c r="Q135" s="432"/>
      <c r="R135" s="316"/>
    </row>
    <row r="136" spans="1:18" ht="15">
      <c r="A136" s="169" t="s">
        <v>111</v>
      </c>
      <c r="B136" s="170" t="s">
        <v>112</v>
      </c>
      <c r="C136" s="403">
        <f>SUM(C137:C139)</f>
        <v>257763</v>
      </c>
      <c r="D136" s="171">
        <f>SUM(D137:D139)</f>
        <v>326713</v>
      </c>
      <c r="E136" s="171">
        <f aca="true" t="shared" si="36" ref="E136:M136">SUM(E137:E139)</f>
        <v>0</v>
      </c>
      <c r="F136" s="171">
        <f t="shared" si="36"/>
        <v>0</v>
      </c>
      <c r="G136" s="171">
        <f t="shared" si="36"/>
        <v>6958</v>
      </c>
      <c r="H136" s="171">
        <f t="shared" si="36"/>
        <v>0</v>
      </c>
      <c r="I136" s="171">
        <f t="shared" si="36"/>
        <v>0</v>
      </c>
      <c r="J136" s="171">
        <f t="shared" si="36"/>
        <v>5860</v>
      </c>
      <c r="K136" s="171">
        <f t="shared" si="36"/>
        <v>0</v>
      </c>
      <c r="L136" s="171">
        <f t="shared" si="36"/>
        <v>0</v>
      </c>
      <c r="M136" s="171">
        <f t="shared" si="36"/>
        <v>8552</v>
      </c>
      <c r="N136" s="171">
        <f>SUM(N137:N139)</f>
        <v>0</v>
      </c>
      <c r="O136" s="414">
        <f t="shared" si="32"/>
        <v>605846</v>
      </c>
      <c r="P136" s="47"/>
      <c r="Q136" s="60"/>
      <c r="R136" s="316"/>
    </row>
    <row r="137" spans="1:18" ht="15">
      <c r="A137" s="175" t="s">
        <v>289</v>
      </c>
      <c r="B137" s="115" t="s">
        <v>113</v>
      </c>
      <c r="C137" s="359">
        <v>51685</v>
      </c>
      <c r="D137" s="38"/>
      <c r="E137" s="38"/>
      <c r="F137" s="116"/>
      <c r="G137" s="121"/>
      <c r="H137" s="134"/>
      <c r="I137" s="134"/>
      <c r="J137" s="133">
        <v>5860</v>
      </c>
      <c r="K137" s="133"/>
      <c r="L137" s="133"/>
      <c r="M137" s="133">
        <v>8552</v>
      </c>
      <c r="N137" s="136"/>
      <c r="O137" s="406">
        <f t="shared" si="32"/>
        <v>66097</v>
      </c>
      <c r="P137" s="47"/>
      <c r="Q137" s="60"/>
      <c r="R137" s="316"/>
    </row>
    <row r="138" spans="1:18" ht="30">
      <c r="A138" s="175" t="s">
        <v>290</v>
      </c>
      <c r="B138" s="115" t="s">
        <v>114</v>
      </c>
      <c r="C138" s="359">
        <f>206160-82</f>
        <v>206078</v>
      </c>
      <c r="D138" s="38"/>
      <c r="E138" s="38"/>
      <c r="F138" s="116"/>
      <c r="G138" s="121">
        <v>6958</v>
      </c>
      <c r="H138" s="134"/>
      <c r="I138" s="134"/>
      <c r="J138" s="133"/>
      <c r="K138" s="133"/>
      <c r="L138" s="133"/>
      <c r="M138" s="133"/>
      <c r="N138" s="136"/>
      <c r="O138" s="406">
        <f t="shared" si="32"/>
        <v>213036</v>
      </c>
      <c r="P138" s="47"/>
      <c r="Q138" s="60"/>
      <c r="R138" s="316"/>
    </row>
    <row r="139" spans="1:18" ht="15">
      <c r="A139" s="175" t="s">
        <v>423</v>
      </c>
      <c r="B139" s="115" t="s">
        <v>424</v>
      </c>
      <c r="C139" s="359"/>
      <c r="D139" s="116">
        <f>310396+16317</f>
        <v>326713</v>
      </c>
      <c r="E139" s="116"/>
      <c r="F139" s="116"/>
      <c r="G139" s="134"/>
      <c r="H139" s="203"/>
      <c r="I139" s="203"/>
      <c r="J139" s="136"/>
      <c r="K139" s="136"/>
      <c r="L139" s="136"/>
      <c r="M139" s="136"/>
      <c r="N139" s="136"/>
      <c r="O139" s="406">
        <f t="shared" si="32"/>
        <v>326713</v>
      </c>
      <c r="P139" s="47"/>
      <c r="Q139" s="60"/>
      <c r="R139" s="316"/>
    </row>
    <row r="140" spans="1:18" ht="15">
      <c r="A140" s="173" t="s">
        <v>115</v>
      </c>
      <c r="B140" s="177" t="s">
        <v>15</v>
      </c>
      <c r="C140" s="405">
        <f>SUM(C141+C142+C146+C150)</f>
        <v>2272557</v>
      </c>
      <c r="D140" s="405">
        <f aca="true" t="shared" si="37" ref="D140:N140">SUM(D141+D142+D146+D150)</f>
        <v>0</v>
      </c>
      <c r="E140" s="405">
        <f>SUM(E141+E142+E146+E150)</f>
        <v>1318160</v>
      </c>
      <c r="F140" s="405">
        <f t="shared" si="37"/>
        <v>0</v>
      </c>
      <c r="G140" s="405">
        <f t="shared" si="37"/>
        <v>238512</v>
      </c>
      <c r="H140" s="405">
        <f t="shared" si="37"/>
        <v>66862</v>
      </c>
      <c r="I140" s="405">
        <f t="shared" si="37"/>
        <v>169960</v>
      </c>
      <c r="J140" s="405">
        <f t="shared" si="37"/>
        <v>239045</v>
      </c>
      <c r="K140" s="405">
        <f t="shared" si="37"/>
        <v>33192</v>
      </c>
      <c r="L140" s="405">
        <f t="shared" si="37"/>
        <v>30733</v>
      </c>
      <c r="M140" s="405">
        <f t="shared" si="37"/>
        <v>72616</v>
      </c>
      <c r="N140" s="405">
        <f t="shared" si="37"/>
        <v>60323</v>
      </c>
      <c r="O140" s="406">
        <f t="shared" si="32"/>
        <v>4501960</v>
      </c>
      <c r="P140" s="60"/>
      <c r="Q140" s="60"/>
      <c r="R140" s="316"/>
    </row>
    <row r="141" spans="1:18" ht="15">
      <c r="A141" s="175" t="s">
        <v>116</v>
      </c>
      <c r="B141" s="115" t="s">
        <v>190</v>
      </c>
      <c r="C141" s="359">
        <v>353442</v>
      </c>
      <c r="D141" s="38"/>
      <c r="E141" s="38"/>
      <c r="F141" s="116"/>
      <c r="G141" s="232">
        <v>30333</v>
      </c>
      <c r="H141" s="121">
        <v>21314</v>
      </c>
      <c r="I141" s="121">
        <v>12744</v>
      </c>
      <c r="J141" s="133">
        <v>28742</v>
      </c>
      <c r="K141" s="133">
        <v>14543</v>
      </c>
      <c r="L141" s="133">
        <v>12374</v>
      </c>
      <c r="M141" s="133">
        <v>16098</v>
      </c>
      <c r="N141" s="178">
        <v>16330</v>
      </c>
      <c r="O141" s="406">
        <f t="shared" si="32"/>
        <v>505920</v>
      </c>
      <c r="P141" s="47"/>
      <c r="Q141" s="60"/>
      <c r="R141" s="316"/>
    </row>
    <row r="142" spans="1:18" ht="15">
      <c r="A142" s="175" t="s">
        <v>117</v>
      </c>
      <c r="B142" s="115" t="s">
        <v>164</v>
      </c>
      <c r="C142" s="359">
        <f>SUM(C143:C145)</f>
        <v>812487</v>
      </c>
      <c r="D142" s="359">
        <f aca="true" t="shared" si="38" ref="D142:N142">SUM(D143:D145)</f>
        <v>0</v>
      </c>
      <c r="E142" s="359">
        <f>SUM(E143:E145)</f>
        <v>0</v>
      </c>
      <c r="F142" s="359">
        <f t="shared" si="38"/>
        <v>0</v>
      </c>
      <c r="G142" s="359">
        <f t="shared" si="38"/>
        <v>0</v>
      </c>
      <c r="H142" s="359">
        <f t="shared" si="38"/>
        <v>0</v>
      </c>
      <c r="I142" s="359">
        <f t="shared" si="38"/>
        <v>0</v>
      </c>
      <c r="J142" s="359">
        <f t="shared" si="38"/>
        <v>0</v>
      </c>
      <c r="K142" s="359">
        <f t="shared" si="38"/>
        <v>0</v>
      </c>
      <c r="L142" s="359">
        <f t="shared" si="38"/>
        <v>0</v>
      </c>
      <c r="M142" s="359">
        <f t="shared" si="38"/>
        <v>2050</v>
      </c>
      <c r="N142" s="359">
        <f t="shared" si="38"/>
        <v>0</v>
      </c>
      <c r="O142" s="406">
        <f t="shared" si="32"/>
        <v>814537</v>
      </c>
      <c r="P142" s="47"/>
      <c r="Q142" s="60"/>
      <c r="R142" s="316"/>
    </row>
    <row r="143" spans="1:18" ht="15">
      <c r="A143" s="175" t="s">
        <v>291</v>
      </c>
      <c r="B143" s="115" t="s">
        <v>165</v>
      </c>
      <c r="C143" s="359">
        <v>550</v>
      </c>
      <c r="D143" s="38"/>
      <c r="E143" s="38"/>
      <c r="F143" s="116"/>
      <c r="G143" s="134"/>
      <c r="H143" s="134"/>
      <c r="I143" s="121"/>
      <c r="J143" s="133"/>
      <c r="K143" s="133"/>
      <c r="L143" s="133"/>
      <c r="M143" s="133"/>
      <c r="N143" s="178"/>
      <c r="O143" s="406">
        <f t="shared" si="32"/>
        <v>550</v>
      </c>
      <c r="P143" s="47"/>
      <c r="Q143" s="60"/>
      <c r="R143" s="316"/>
    </row>
    <row r="144" spans="1:18" ht="15">
      <c r="A144" s="175" t="s">
        <v>292</v>
      </c>
      <c r="B144" s="115" t="s">
        <v>351</v>
      </c>
      <c r="C144" s="116">
        <v>281937</v>
      </c>
      <c r="D144" s="38"/>
      <c r="E144" s="38"/>
      <c r="F144" s="116"/>
      <c r="G144" s="134"/>
      <c r="H144" s="134"/>
      <c r="I144" s="121"/>
      <c r="J144" s="133"/>
      <c r="K144" s="133"/>
      <c r="L144" s="133"/>
      <c r="M144" s="133">
        <v>2050</v>
      </c>
      <c r="N144" s="178"/>
      <c r="O144" s="406">
        <f t="shared" si="32"/>
        <v>283987</v>
      </c>
      <c r="P144" s="47"/>
      <c r="Q144" s="60"/>
      <c r="R144" s="316"/>
    </row>
    <row r="145" spans="1:18" ht="30">
      <c r="A145" s="175" t="s">
        <v>425</v>
      </c>
      <c r="B145" s="192" t="s">
        <v>426</v>
      </c>
      <c r="C145" s="359">
        <f>500000+30000</f>
        <v>530000</v>
      </c>
      <c r="D145" s="38"/>
      <c r="E145" s="38"/>
      <c r="F145" s="116"/>
      <c r="G145" s="134"/>
      <c r="H145" s="134"/>
      <c r="I145" s="121"/>
      <c r="J145" s="133"/>
      <c r="K145" s="133"/>
      <c r="L145" s="133"/>
      <c r="M145" s="133"/>
      <c r="N145" s="178"/>
      <c r="O145" s="406">
        <f t="shared" si="32"/>
        <v>530000</v>
      </c>
      <c r="P145" s="47"/>
      <c r="Q145" s="60"/>
      <c r="R145" s="316"/>
    </row>
    <row r="146" spans="1:18" ht="15">
      <c r="A146" s="175" t="s">
        <v>118</v>
      </c>
      <c r="B146" s="115" t="s">
        <v>669</v>
      </c>
      <c r="C146" s="359">
        <f>SUM(C147:C149)</f>
        <v>300000</v>
      </c>
      <c r="D146" s="359">
        <f aca="true" t="shared" si="39" ref="D146:M146">SUM(D147:D149)</f>
        <v>0</v>
      </c>
      <c r="E146" s="359">
        <f>SUM(E147:E149)</f>
        <v>1318160</v>
      </c>
      <c r="F146" s="359">
        <f t="shared" si="39"/>
        <v>0</v>
      </c>
      <c r="G146" s="359">
        <f t="shared" si="39"/>
        <v>208179</v>
      </c>
      <c r="H146" s="359">
        <f t="shared" si="39"/>
        <v>45548</v>
      </c>
      <c r="I146" s="359">
        <f t="shared" si="39"/>
        <v>84959</v>
      </c>
      <c r="J146" s="359">
        <f t="shared" si="39"/>
        <v>210303</v>
      </c>
      <c r="K146" s="359">
        <f t="shared" si="39"/>
        <v>18649</v>
      </c>
      <c r="L146" s="359">
        <f t="shared" si="39"/>
        <v>18359</v>
      </c>
      <c r="M146" s="359">
        <f t="shared" si="39"/>
        <v>54468</v>
      </c>
      <c r="N146" s="359">
        <f>SUM(N147:N149)</f>
        <v>36493</v>
      </c>
      <c r="O146" s="406">
        <f t="shared" si="32"/>
        <v>2295118</v>
      </c>
      <c r="P146" s="47"/>
      <c r="Q146" s="60"/>
      <c r="R146" s="316"/>
    </row>
    <row r="147" spans="1:18" ht="15">
      <c r="A147" s="175" t="s">
        <v>510</v>
      </c>
      <c r="B147" s="115" t="s">
        <v>670</v>
      </c>
      <c r="C147" s="359"/>
      <c r="D147" s="38"/>
      <c r="E147" s="38">
        <f>141710+49262</f>
        <v>190972</v>
      </c>
      <c r="F147" s="116"/>
      <c r="G147" s="232">
        <v>208179</v>
      </c>
      <c r="H147" s="121">
        <v>45548</v>
      </c>
      <c r="I147" s="121">
        <v>84959</v>
      </c>
      <c r="J147" s="133">
        <v>210303</v>
      </c>
      <c r="K147" s="133">
        <v>18649</v>
      </c>
      <c r="L147" s="133">
        <v>18359</v>
      </c>
      <c r="M147" s="133">
        <f>53742+726</f>
        <v>54468</v>
      </c>
      <c r="N147" s="176">
        <v>36493</v>
      </c>
      <c r="O147" s="406">
        <f t="shared" si="32"/>
        <v>867930</v>
      </c>
      <c r="P147" s="47"/>
      <c r="Q147" s="60"/>
      <c r="R147" s="316"/>
    </row>
    <row r="148" spans="1:18" ht="15">
      <c r="A148" s="175" t="s">
        <v>511</v>
      </c>
      <c r="B148" s="115" t="s">
        <v>512</v>
      </c>
      <c r="C148" s="359">
        <v>300000</v>
      </c>
      <c r="D148" s="38"/>
      <c r="E148" s="38"/>
      <c r="F148" s="116"/>
      <c r="G148" s="134"/>
      <c r="H148" s="134"/>
      <c r="I148" s="134"/>
      <c r="J148" s="133"/>
      <c r="K148" s="133"/>
      <c r="L148" s="133"/>
      <c r="M148" s="133"/>
      <c r="N148" s="136"/>
      <c r="O148" s="406">
        <f t="shared" si="32"/>
        <v>300000</v>
      </c>
      <c r="P148" s="47"/>
      <c r="Q148" s="60"/>
      <c r="R148" s="316"/>
    </row>
    <row r="149" spans="1:26" ht="15">
      <c r="A149" s="175" t="s">
        <v>668</v>
      </c>
      <c r="B149" s="115" t="s">
        <v>166</v>
      </c>
      <c r="C149" s="359"/>
      <c r="D149" s="38"/>
      <c r="E149" s="38">
        <f>1056746+59552+10890</f>
        <v>1127188</v>
      </c>
      <c r="F149" s="116"/>
      <c r="G149" s="134"/>
      <c r="H149" s="134"/>
      <c r="I149" s="134"/>
      <c r="J149" s="133"/>
      <c r="K149" s="133"/>
      <c r="L149" s="133"/>
      <c r="M149" s="133"/>
      <c r="N149" s="136"/>
      <c r="O149" s="406">
        <f t="shared" si="32"/>
        <v>1127188</v>
      </c>
      <c r="P149" s="47"/>
      <c r="Q149" s="60"/>
      <c r="R149" s="316"/>
      <c r="T149" s="98"/>
      <c r="U149" s="98"/>
      <c r="V149" s="98"/>
      <c r="W149" s="98"/>
      <c r="X149" s="98"/>
      <c r="Y149" s="98"/>
      <c r="Z149" s="98"/>
    </row>
    <row r="150" spans="1:26" s="98" customFormat="1" ht="15">
      <c r="A150" s="173" t="s">
        <v>119</v>
      </c>
      <c r="B150" s="145" t="s">
        <v>293</v>
      </c>
      <c r="C150" s="424">
        <f>SUM(C151:C159)</f>
        <v>806628</v>
      </c>
      <c r="D150" s="424">
        <f aca="true" t="shared" si="40" ref="D150:M150">SUM(D151:D159)</f>
        <v>0</v>
      </c>
      <c r="E150" s="424">
        <f t="shared" si="40"/>
        <v>0</v>
      </c>
      <c r="F150" s="424">
        <f t="shared" si="40"/>
        <v>0</v>
      </c>
      <c r="G150" s="424">
        <f t="shared" si="40"/>
        <v>0</v>
      </c>
      <c r="H150" s="424">
        <f t="shared" si="40"/>
        <v>0</v>
      </c>
      <c r="I150" s="424">
        <f t="shared" si="40"/>
        <v>72257</v>
      </c>
      <c r="J150" s="424">
        <f t="shared" si="40"/>
        <v>0</v>
      </c>
      <c r="K150" s="424">
        <f t="shared" si="40"/>
        <v>0</v>
      </c>
      <c r="L150" s="424">
        <f t="shared" si="40"/>
        <v>0</v>
      </c>
      <c r="M150" s="424">
        <f t="shared" si="40"/>
        <v>0</v>
      </c>
      <c r="N150" s="424">
        <f>SUM(N151:N159)</f>
        <v>7500</v>
      </c>
      <c r="O150" s="406">
        <f t="shared" si="32"/>
        <v>886385</v>
      </c>
      <c r="P150" s="432"/>
      <c r="Q150" s="432"/>
      <c r="R150" s="316"/>
      <c r="T150" s="94"/>
      <c r="U150" s="94"/>
      <c r="V150" s="94"/>
      <c r="W150" s="94"/>
      <c r="X150" s="94"/>
      <c r="Y150" s="94"/>
      <c r="Z150" s="94"/>
    </row>
    <row r="151" spans="1:18" ht="15">
      <c r="A151" s="175" t="s">
        <v>294</v>
      </c>
      <c r="B151" s="192" t="s">
        <v>513</v>
      </c>
      <c r="C151" s="116">
        <v>22600</v>
      </c>
      <c r="D151" s="38"/>
      <c r="E151" s="38"/>
      <c r="F151" s="116"/>
      <c r="G151" s="121"/>
      <c r="H151" s="134"/>
      <c r="I151" s="121"/>
      <c r="J151" s="133"/>
      <c r="K151" s="133"/>
      <c r="L151" s="133"/>
      <c r="M151" s="133"/>
      <c r="N151" s="136">
        <v>7500</v>
      </c>
      <c r="O151" s="406">
        <f t="shared" si="32"/>
        <v>30100</v>
      </c>
      <c r="P151" s="47"/>
      <c r="Q151" s="60"/>
      <c r="R151" s="316"/>
    </row>
    <row r="152" spans="1:18" ht="15">
      <c r="A152" s="175" t="s">
        <v>295</v>
      </c>
      <c r="B152" s="192" t="s">
        <v>167</v>
      </c>
      <c r="C152" s="359">
        <v>39003</v>
      </c>
      <c r="D152" s="38"/>
      <c r="E152" s="38"/>
      <c r="F152" s="116"/>
      <c r="G152" s="134"/>
      <c r="H152" s="134"/>
      <c r="I152" s="134"/>
      <c r="J152" s="133"/>
      <c r="K152" s="133"/>
      <c r="L152" s="133"/>
      <c r="M152" s="133"/>
      <c r="N152" s="136"/>
      <c r="O152" s="406">
        <f t="shared" si="32"/>
        <v>39003</v>
      </c>
      <c r="P152" s="47"/>
      <c r="Q152" s="60"/>
      <c r="R152" s="316"/>
    </row>
    <row r="153" spans="1:18" ht="15">
      <c r="A153" s="175" t="s">
        <v>296</v>
      </c>
      <c r="B153" s="197" t="s">
        <v>168</v>
      </c>
      <c r="C153" s="359">
        <v>500</v>
      </c>
      <c r="D153" s="38"/>
      <c r="E153" s="38"/>
      <c r="F153" s="116"/>
      <c r="G153" s="134"/>
      <c r="H153" s="134"/>
      <c r="I153" s="134"/>
      <c r="J153" s="133"/>
      <c r="K153" s="133"/>
      <c r="L153" s="133"/>
      <c r="M153" s="133"/>
      <c r="N153" s="136"/>
      <c r="O153" s="406">
        <f t="shared" si="32"/>
        <v>500</v>
      </c>
      <c r="P153" s="47"/>
      <c r="Q153" s="60"/>
      <c r="R153" s="316"/>
    </row>
    <row r="154" spans="1:18" ht="46.5" customHeight="1">
      <c r="A154" s="175" t="s">
        <v>514</v>
      </c>
      <c r="B154" s="197" t="s">
        <v>515</v>
      </c>
      <c r="C154" s="359">
        <v>670000</v>
      </c>
      <c r="D154" s="38"/>
      <c r="E154" s="38"/>
      <c r="F154" s="116"/>
      <c r="G154" s="134"/>
      <c r="H154" s="134"/>
      <c r="I154" s="134"/>
      <c r="J154" s="133"/>
      <c r="K154" s="133"/>
      <c r="L154" s="133"/>
      <c r="M154" s="133"/>
      <c r="N154" s="136"/>
      <c r="O154" s="406">
        <f t="shared" si="32"/>
        <v>670000</v>
      </c>
      <c r="P154" s="47"/>
      <c r="Q154" s="60"/>
      <c r="R154" s="316"/>
    </row>
    <row r="155" spans="1:18" ht="30">
      <c r="A155" s="175" t="s">
        <v>516</v>
      </c>
      <c r="B155" s="197" t="s">
        <v>665</v>
      </c>
      <c r="C155" s="359">
        <v>34525</v>
      </c>
      <c r="D155" s="38"/>
      <c r="E155" s="38"/>
      <c r="F155" s="116"/>
      <c r="G155" s="134"/>
      <c r="H155" s="134"/>
      <c r="I155" s="134"/>
      <c r="J155" s="133"/>
      <c r="K155" s="133"/>
      <c r="L155" s="133"/>
      <c r="M155" s="133"/>
      <c r="N155" s="136"/>
      <c r="O155" s="406">
        <f t="shared" si="32"/>
        <v>34525</v>
      </c>
      <c r="P155" s="47"/>
      <c r="Q155" s="60"/>
      <c r="R155" s="316"/>
    </row>
    <row r="156" spans="1:18" ht="30">
      <c r="A156" s="175" t="s">
        <v>605</v>
      </c>
      <c r="B156" s="192" t="s">
        <v>663</v>
      </c>
      <c r="C156" s="359">
        <v>20000</v>
      </c>
      <c r="D156" s="38"/>
      <c r="E156" s="38"/>
      <c r="F156" s="116"/>
      <c r="G156" s="134"/>
      <c r="H156" s="134"/>
      <c r="I156" s="134"/>
      <c r="J156" s="133"/>
      <c r="K156" s="133"/>
      <c r="L156" s="133"/>
      <c r="M156" s="133"/>
      <c r="N156" s="136"/>
      <c r="O156" s="406">
        <f t="shared" si="32"/>
        <v>20000</v>
      </c>
      <c r="P156" s="47"/>
      <c r="Q156" s="60"/>
      <c r="R156" s="316"/>
    </row>
    <row r="157" spans="1:18" ht="30">
      <c r="A157" s="175" t="s">
        <v>629</v>
      </c>
      <c r="B157" s="192" t="s">
        <v>664</v>
      </c>
      <c r="C157" s="359"/>
      <c r="D157" s="38"/>
      <c r="E157" s="38"/>
      <c r="F157" s="116"/>
      <c r="G157" s="134"/>
      <c r="H157" s="134"/>
      <c r="I157" s="134"/>
      <c r="J157" s="133"/>
      <c r="K157" s="133"/>
      <c r="L157" s="133"/>
      <c r="M157" s="133"/>
      <c r="N157" s="136"/>
      <c r="O157" s="406">
        <f t="shared" si="32"/>
        <v>0</v>
      </c>
      <c r="P157" s="47"/>
      <c r="Q157" s="60"/>
      <c r="R157" s="316"/>
    </row>
    <row r="158" spans="1:18" ht="15">
      <c r="A158" s="175" t="s">
        <v>352</v>
      </c>
      <c r="B158" s="425" t="s">
        <v>517</v>
      </c>
      <c r="C158" s="359"/>
      <c r="D158" s="38"/>
      <c r="E158" s="38"/>
      <c r="F158" s="116"/>
      <c r="G158" s="134"/>
      <c r="H158" s="134"/>
      <c r="I158" s="121">
        <v>72257</v>
      </c>
      <c r="J158" s="133"/>
      <c r="K158" s="133"/>
      <c r="L158" s="133"/>
      <c r="M158" s="133"/>
      <c r="N158" s="136"/>
      <c r="O158" s="406">
        <f t="shared" si="32"/>
        <v>72257</v>
      </c>
      <c r="P158" s="47"/>
      <c r="Q158" s="60"/>
      <c r="R158" s="316"/>
    </row>
    <row r="159" spans="1:18" ht="45">
      <c r="A159" s="175" t="s">
        <v>387</v>
      </c>
      <c r="B159" s="241" t="s">
        <v>595</v>
      </c>
      <c r="C159" s="359">
        <v>20000</v>
      </c>
      <c r="D159" s="38"/>
      <c r="E159" s="38"/>
      <c r="F159" s="116"/>
      <c r="G159" s="134"/>
      <c r="H159" s="134"/>
      <c r="I159" s="134"/>
      <c r="J159" s="133"/>
      <c r="K159" s="133"/>
      <c r="L159" s="133"/>
      <c r="M159" s="133"/>
      <c r="N159" s="136"/>
      <c r="O159" s="406">
        <f t="shared" si="32"/>
        <v>20000</v>
      </c>
      <c r="P159" s="47"/>
      <c r="Q159" s="60"/>
      <c r="R159" s="316"/>
    </row>
    <row r="160" spans="1:18" ht="15">
      <c r="A160" s="173" t="s">
        <v>671</v>
      </c>
      <c r="B160" s="475" t="s">
        <v>672</v>
      </c>
      <c r="C160" s="405">
        <f>C161+C162</f>
        <v>134970</v>
      </c>
      <c r="D160" s="405">
        <f aca="true" t="shared" si="41" ref="D160:N160">D161+D162</f>
        <v>0</v>
      </c>
      <c r="E160" s="405">
        <f t="shared" si="41"/>
        <v>0</v>
      </c>
      <c r="F160" s="405">
        <f t="shared" si="41"/>
        <v>0</v>
      </c>
      <c r="G160" s="405">
        <f t="shared" si="41"/>
        <v>0</v>
      </c>
      <c r="H160" s="405">
        <f t="shared" si="41"/>
        <v>0</v>
      </c>
      <c r="I160" s="405">
        <f t="shared" si="41"/>
        <v>3130</v>
      </c>
      <c r="J160" s="405">
        <f t="shared" si="41"/>
        <v>3779</v>
      </c>
      <c r="K160" s="405">
        <f t="shared" si="41"/>
        <v>0</v>
      </c>
      <c r="L160" s="405">
        <f t="shared" si="41"/>
        <v>0</v>
      </c>
      <c r="M160" s="405">
        <f t="shared" si="41"/>
        <v>0</v>
      </c>
      <c r="N160" s="405">
        <f t="shared" si="41"/>
        <v>0</v>
      </c>
      <c r="O160" s="406">
        <f>SUM(C160:N160)</f>
        <v>141879</v>
      </c>
      <c r="P160" s="47"/>
      <c r="Q160" s="60"/>
      <c r="R160" s="316"/>
    </row>
    <row r="161" spans="1:18" ht="15">
      <c r="A161" s="173" t="s">
        <v>297</v>
      </c>
      <c r="B161" s="145" t="s">
        <v>120</v>
      </c>
      <c r="C161" s="174">
        <v>42598</v>
      </c>
      <c r="D161" s="54"/>
      <c r="E161" s="54"/>
      <c r="F161" s="174"/>
      <c r="G161" s="134"/>
      <c r="H161" s="134"/>
      <c r="I161" s="134"/>
      <c r="J161" s="133"/>
      <c r="K161" s="133"/>
      <c r="L161" s="133"/>
      <c r="M161" s="133"/>
      <c r="N161" s="136"/>
      <c r="O161" s="406">
        <f t="shared" si="32"/>
        <v>42598</v>
      </c>
      <c r="P161" s="47"/>
      <c r="Q161" s="60"/>
      <c r="R161" s="316"/>
    </row>
    <row r="162" spans="1:18" ht="29.25">
      <c r="A162" s="173" t="s">
        <v>121</v>
      </c>
      <c r="B162" s="145" t="s">
        <v>122</v>
      </c>
      <c r="C162" s="174">
        <v>92372</v>
      </c>
      <c r="D162" s="54"/>
      <c r="E162" s="54"/>
      <c r="F162" s="174"/>
      <c r="G162" s="134"/>
      <c r="H162" s="134"/>
      <c r="I162" s="121">
        <v>3130</v>
      </c>
      <c r="J162" s="133">
        <v>3779</v>
      </c>
      <c r="K162" s="133"/>
      <c r="L162" s="133"/>
      <c r="M162" s="133"/>
      <c r="N162" s="136"/>
      <c r="O162" s="406">
        <f t="shared" si="32"/>
        <v>99281</v>
      </c>
      <c r="P162" s="47"/>
      <c r="Q162" s="60"/>
      <c r="R162" s="316"/>
    </row>
    <row r="163" spans="1:18" ht="30" thickBot="1">
      <c r="A163" s="451" t="s">
        <v>518</v>
      </c>
      <c r="B163" s="426" t="s">
        <v>519</v>
      </c>
      <c r="C163" s="360">
        <v>15000</v>
      </c>
      <c r="D163" s="361"/>
      <c r="E163" s="361"/>
      <c r="F163" s="360"/>
      <c r="G163" s="187"/>
      <c r="H163" s="187"/>
      <c r="I163" s="237"/>
      <c r="J163" s="188"/>
      <c r="K163" s="188"/>
      <c r="L163" s="188"/>
      <c r="M163" s="188">
        <v>6000</v>
      </c>
      <c r="N163" s="198"/>
      <c r="O163" s="406">
        <f>SUM(C163:N163)</f>
        <v>21000</v>
      </c>
      <c r="P163" s="47"/>
      <c r="Q163" s="60"/>
      <c r="R163" s="316"/>
    </row>
    <row r="164" spans="1:18" ht="15.75" thickBot="1">
      <c r="A164" s="200" t="s">
        <v>123</v>
      </c>
      <c r="B164" s="193" t="s">
        <v>9</v>
      </c>
      <c r="C164" s="427">
        <f aca="true" t="shared" si="42" ref="C164:N164">C165+C176+C177+C187+C194+C197+C198</f>
        <v>15018809</v>
      </c>
      <c r="D164" s="109">
        <f t="shared" si="42"/>
        <v>0</v>
      </c>
      <c r="E164" s="109">
        <f t="shared" si="42"/>
        <v>0</v>
      </c>
      <c r="F164" s="109">
        <f t="shared" si="42"/>
        <v>0</v>
      </c>
      <c r="G164" s="109">
        <f t="shared" si="42"/>
        <v>1431554</v>
      </c>
      <c r="H164" s="109">
        <f t="shared" si="42"/>
        <v>0</v>
      </c>
      <c r="I164" s="109">
        <f t="shared" si="42"/>
        <v>372534</v>
      </c>
      <c r="J164" s="109">
        <f t="shared" si="42"/>
        <v>1131518</v>
      </c>
      <c r="K164" s="109">
        <f t="shared" si="42"/>
        <v>19162</v>
      </c>
      <c r="L164" s="109">
        <f t="shared" si="42"/>
        <v>17115</v>
      </c>
      <c r="M164" s="109">
        <f t="shared" si="42"/>
        <v>25342</v>
      </c>
      <c r="N164" s="109">
        <f t="shared" si="42"/>
        <v>503759</v>
      </c>
      <c r="O164" s="393">
        <f t="shared" si="32"/>
        <v>18519793</v>
      </c>
      <c r="P164" s="60"/>
      <c r="Q164" s="60"/>
      <c r="R164" s="316"/>
    </row>
    <row r="165" spans="1:18" ht="15">
      <c r="A165" s="169" t="s">
        <v>124</v>
      </c>
      <c r="B165" s="170" t="s">
        <v>298</v>
      </c>
      <c r="C165" s="403">
        <f>SUM(C166:C175)</f>
        <v>4022963</v>
      </c>
      <c r="D165" s="171">
        <f>SUM(D166:D175)</f>
        <v>0</v>
      </c>
      <c r="E165" s="171">
        <f>SUM(E166:E175)</f>
        <v>0</v>
      </c>
      <c r="F165" s="171">
        <f>SUM(F166:F175)</f>
        <v>0</v>
      </c>
      <c r="G165" s="130">
        <f aca="true" t="shared" si="43" ref="G165:N165">SUM(G166:G175)</f>
        <v>0</v>
      </c>
      <c r="H165" s="130">
        <f t="shared" si="43"/>
        <v>0</v>
      </c>
      <c r="I165" s="130">
        <f t="shared" si="43"/>
        <v>121093</v>
      </c>
      <c r="J165" s="171">
        <f t="shared" si="43"/>
        <v>301454</v>
      </c>
      <c r="K165" s="171">
        <f t="shared" si="43"/>
        <v>0</v>
      </c>
      <c r="L165" s="171">
        <f t="shared" si="43"/>
        <v>0</v>
      </c>
      <c r="M165" s="171">
        <f t="shared" si="43"/>
        <v>0</v>
      </c>
      <c r="N165" s="171">
        <f t="shared" si="43"/>
        <v>0</v>
      </c>
      <c r="O165" s="414">
        <f t="shared" si="32"/>
        <v>4445510</v>
      </c>
      <c r="P165" s="60"/>
      <c r="Q165" s="60"/>
      <c r="R165" s="316"/>
    </row>
    <row r="166" spans="1:18" ht="15">
      <c r="A166" s="175" t="s">
        <v>299</v>
      </c>
      <c r="B166" s="201" t="s">
        <v>125</v>
      </c>
      <c r="C166" s="243">
        <f>291203+945+1</f>
        <v>292149</v>
      </c>
      <c r="D166" s="38"/>
      <c r="E166" s="38"/>
      <c r="F166" s="116"/>
      <c r="G166" s="134"/>
      <c r="H166" s="134"/>
      <c r="I166" s="134"/>
      <c r="J166" s="133"/>
      <c r="K166" s="133"/>
      <c r="L166" s="133"/>
      <c r="M166" s="133"/>
      <c r="N166" s="136"/>
      <c r="O166" s="406">
        <f t="shared" si="32"/>
        <v>292149</v>
      </c>
      <c r="P166" s="47"/>
      <c r="Q166" s="60"/>
      <c r="R166" s="316"/>
    </row>
    <row r="167" spans="1:18" ht="15">
      <c r="A167" s="175" t="s">
        <v>300</v>
      </c>
      <c r="B167" s="201" t="s">
        <v>126</v>
      </c>
      <c r="C167" s="359">
        <f>541886+2399</f>
        <v>544285</v>
      </c>
      <c r="D167" s="38"/>
      <c r="E167" s="38"/>
      <c r="F167" s="116"/>
      <c r="G167" s="134"/>
      <c r="H167" s="134"/>
      <c r="I167" s="134"/>
      <c r="J167" s="133"/>
      <c r="K167" s="133"/>
      <c r="L167" s="133"/>
      <c r="M167" s="133"/>
      <c r="N167" s="136"/>
      <c r="O167" s="406">
        <f t="shared" si="32"/>
        <v>544285</v>
      </c>
      <c r="P167" s="47"/>
      <c r="Q167" s="60"/>
      <c r="R167" s="316"/>
    </row>
    <row r="168" spans="1:18" ht="15">
      <c r="A168" s="175" t="s">
        <v>301</v>
      </c>
      <c r="B168" s="201" t="s">
        <v>127</v>
      </c>
      <c r="C168" s="359">
        <f>555376+1864</f>
        <v>557240</v>
      </c>
      <c r="D168" s="38"/>
      <c r="E168" s="38"/>
      <c r="F168" s="116"/>
      <c r="G168" s="134"/>
      <c r="H168" s="134"/>
      <c r="I168" s="134"/>
      <c r="J168" s="133"/>
      <c r="K168" s="133"/>
      <c r="L168" s="133"/>
      <c r="M168" s="133"/>
      <c r="N168" s="136"/>
      <c r="O168" s="406">
        <f t="shared" si="32"/>
        <v>557240</v>
      </c>
      <c r="P168" s="47"/>
      <c r="Q168" s="60"/>
      <c r="R168" s="316"/>
    </row>
    <row r="169" spans="1:18" ht="15">
      <c r="A169" s="175" t="s">
        <v>302</v>
      </c>
      <c r="B169" s="201" t="s">
        <v>128</v>
      </c>
      <c r="C169" s="359">
        <f>599345+12080-1</f>
        <v>611424</v>
      </c>
      <c r="D169" s="38"/>
      <c r="E169" s="38"/>
      <c r="F169" s="116"/>
      <c r="G169" s="134"/>
      <c r="H169" s="134"/>
      <c r="I169" s="134"/>
      <c r="J169" s="133"/>
      <c r="K169" s="133"/>
      <c r="L169" s="133"/>
      <c r="M169" s="133"/>
      <c r="N169" s="136"/>
      <c r="O169" s="406">
        <f t="shared" si="32"/>
        <v>611424</v>
      </c>
      <c r="P169" s="47"/>
      <c r="Q169" s="60"/>
      <c r="R169" s="316"/>
    </row>
    <row r="170" spans="1:18" ht="15">
      <c r="A170" s="175" t="s">
        <v>303</v>
      </c>
      <c r="B170" s="201" t="s">
        <v>129</v>
      </c>
      <c r="C170" s="359">
        <f>670678+2421</f>
        <v>673099</v>
      </c>
      <c r="D170" s="38"/>
      <c r="E170" s="38"/>
      <c r="F170" s="116"/>
      <c r="G170" s="134"/>
      <c r="H170" s="134"/>
      <c r="I170" s="121">
        <v>121093</v>
      </c>
      <c r="J170" s="133"/>
      <c r="K170" s="133"/>
      <c r="L170" s="133"/>
      <c r="M170" s="133"/>
      <c r="N170" s="136"/>
      <c r="O170" s="406">
        <f t="shared" si="32"/>
        <v>794192</v>
      </c>
      <c r="P170" s="47"/>
      <c r="Q170" s="60"/>
      <c r="R170" s="316"/>
    </row>
    <row r="171" spans="1:18" ht="15">
      <c r="A171" s="175" t="s">
        <v>304</v>
      </c>
      <c r="B171" s="201" t="s">
        <v>130</v>
      </c>
      <c r="C171" s="359">
        <f>340264+529</f>
        <v>340793</v>
      </c>
      <c r="D171" s="38"/>
      <c r="E171" s="38"/>
      <c r="F171" s="116"/>
      <c r="G171" s="134"/>
      <c r="H171" s="134"/>
      <c r="I171" s="134"/>
      <c r="J171" s="133"/>
      <c r="K171" s="133"/>
      <c r="L171" s="133"/>
      <c r="M171" s="133"/>
      <c r="N171" s="136"/>
      <c r="O171" s="406">
        <f t="shared" si="32"/>
        <v>340793</v>
      </c>
      <c r="P171" s="47"/>
      <c r="Q171" s="60"/>
      <c r="R171" s="316"/>
    </row>
    <row r="172" spans="1:18" ht="15">
      <c r="A172" s="175" t="s">
        <v>305</v>
      </c>
      <c r="B172" s="201" t="s">
        <v>169</v>
      </c>
      <c r="C172" s="359">
        <f>531042+1626</f>
        <v>532668</v>
      </c>
      <c r="D172" s="38"/>
      <c r="E172" s="38"/>
      <c r="F172" s="116"/>
      <c r="G172" s="134"/>
      <c r="H172" s="134"/>
      <c r="I172" s="134"/>
      <c r="J172" s="133"/>
      <c r="K172" s="133"/>
      <c r="L172" s="133"/>
      <c r="M172" s="133"/>
      <c r="N172" s="136"/>
      <c r="O172" s="406">
        <f t="shared" si="32"/>
        <v>532668</v>
      </c>
      <c r="P172" s="47"/>
      <c r="Q172" s="60"/>
      <c r="R172" s="316"/>
    </row>
    <row r="173" spans="1:18" ht="15">
      <c r="A173" s="175" t="s">
        <v>306</v>
      </c>
      <c r="B173" s="201" t="s">
        <v>191</v>
      </c>
      <c r="C173" s="359">
        <f>379942+964-1</f>
        <v>380905</v>
      </c>
      <c r="D173" s="116"/>
      <c r="E173" s="116"/>
      <c r="F173" s="116"/>
      <c r="G173" s="134"/>
      <c r="H173" s="134"/>
      <c r="I173" s="121"/>
      <c r="J173" s="136"/>
      <c r="K173" s="136"/>
      <c r="L173" s="136"/>
      <c r="M173" s="136"/>
      <c r="N173" s="136"/>
      <c r="O173" s="406">
        <f t="shared" si="32"/>
        <v>380905</v>
      </c>
      <c r="P173" s="47"/>
      <c r="Q173" s="60"/>
      <c r="R173" s="316"/>
    </row>
    <row r="174" spans="1:18" ht="15">
      <c r="A174" s="175" t="s">
        <v>307</v>
      </c>
      <c r="B174" s="201" t="s">
        <v>192</v>
      </c>
      <c r="C174" s="359"/>
      <c r="D174" s="116"/>
      <c r="E174" s="116"/>
      <c r="F174" s="116"/>
      <c r="G174" s="134"/>
      <c r="H174" s="134"/>
      <c r="I174" s="134"/>
      <c r="J174" s="242">
        <v>301454</v>
      </c>
      <c r="K174" s="136"/>
      <c r="L174" s="136"/>
      <c r="M174" s="136"/>
      <c r="N174" s="136"/>
      <c r="O174" s="406">
        <f t="shared" si="32"/>
        <v>301454</v>
      </c>
      <c r="P174" s="47"/>
      <c r="Q174" s="60"/>
      <c r="R174" s="316"/>
    </row>
    <row r="175" spans="1:18" ht="30">
      <c r="A175" s="175" t="s">
        <v>308</v>
      </c>
      <c r="B175" s="201" t="s">
        <v>636</v>
      </c>
      <c r="C175" s="359">
        <f>76000+14400</f>
        <v>90400</v>
      </c>
      <c r="D175" s="116"/>
      <c r="E175" s="116"/>
      <c r="F175" s="116"/>
      <c r="G175" s="134"/>
      <c r="H175" s="134"/>
      <c r="I175" s="134"/>
      <c r="J175" s="136"/>
      <c r="K175" s="136"/>
      <c r="L175" s="136"/>
      <c r="M175" s="136"/>
      <c r="N175" s="199"/>
      <c r="O175" s="406">
        <f>SUM(C175:N175)</f>
        <v>90400</v>
      </c>
      <c r="P175" s="47"/>
      <c r="Q175" s="60"/>
      <c r="R175" s="316"/>
    </row>
    <row r="176" spans="1:18" ht="15">
      <c r="A176" s="173" t="s">
        <v>132</v>
      </c>
      <c r="B176" s="202" t="s">
        <v>309</v>
      </c>
      <c r="C176" s="359">
        <f>940367+13690-1+9</f>
        <v>954065</v>
      </c>
      <c r="D176" s="116"/>
      <c r="E176" s="116"/>
      <c r="F176" s="116"/>
      <c r="G176" s="232"/>
      <c r="H176" s="203"/>
      <c r="I176" s="203"/>
      <c r="J176" s="136"/>
      <c r="K176" s="136"/>
      <c r="L176" s="136"/>
      <c r="M176" s="136"/>
      <c r="N176" s="136"/>
      <c r="O176" s="406">
        <f>SUM(C176:N176)</f>
        <v>954065</v>
      </c>
      <c r="P176" s="60"/>
      <c r="Q176" s="60"/>
      <c r="R176" s="316"/>
    </row>
    <row r="177" spans="1:18" ht="29.25">
      <c r="A177" s="173" t="s">
        <v>195</v>
      </c>
      <c r="B177" s="145" t="s">
        <v>310</v>
      </c>
      <c r="C177" s="405">
        <f aca="true" t="shared" si="44" ref="C177:N177">SUM(C178:C186)</f>
        <v>4090023</v>
      </c>
      <c r="D177" s="174">
        <f t="shared" si="44"/>
        <v>0</v>
      </c>
      <c r="E177" s="174">
        <f t="shared" si="44"/>
        <v>0</v>
      </c>
      <c r="F177" s="174">
        <f t="shared" si="44"/>
        <v>0</v>
      </c>
      <c r="G177" s="54">
        <f t="shared" si="44"/>
        <v>1412886</v>
      </c>
      <c r="H177" s="174">
        <f t="shared" si="44"/>
        <v>0</v>
      </c>
      <c r="I177" s="174">
        <f t="shared" si="44"/>
        <v>233704</v>
      </c>
      <c r="J177" s="174">
        <f t="shared" si="44"/>
        <v>556393</v>
      </c>
      <c r="K177" s="174">
        <f t="shared" si="44"/>
        <v>0</v>
      </c>
      <c r="L177" s="174">
        <f t="shared" si="44"/>
        <v>0</v>
      </c>
      <c r="M177" s="174">
        <f t="shared" si="44"/>
        <v>11250</v>
      </c>
      <c r="N177" s="174">
        <f t="shared" si="44"/>
        <v>488391</v>
      </c>
      <c r="O177" s="406">
        <f t="shared" si="32"/>
        <v>6792647</v>
      </c>
      <c r="P177" s="60"/>
      <c r="Q177" s="60"/>
      <c r="R177" s="316"/>
    </row>
    <row r="178" spans="1:18" ht="15">
      <c r="A178" s="175" t="s">
        <v>311</v>
      </c>
      <c r="B178" s="201" t="s">
        <v>133</v>
      </c>
      <c r="C178" s="359">
        <f>1758568+23220-5</f>
        <v>1781783</v>
      </c>
      <c r="D178" s="38"/>
      <c r="E178" s="38"/>
      <c r="F178" s="116"/>
      <c r="G178" s="134"/>
      <c r="H178" s="134"/>
      <c r="I178" s="134"/>
      <c r="J178" s="133"/>
      <c r="K178" s="133"/>
      <c r="L178" s="133"/>
      <c r="M178" s="133"/>
      <c r="N178" s="136"/>
      <c r="O178" s="406">
        <f t="shared" si="32"/>
        <v>1781783</v>
      </c>
      <c r="P178" s="47"/>
      <c r="Q178" s="60"/>
      <c r="R178" s="316"/>
    </row>
    <row r="179" spans="1:18" ht="15">
      <c r="A179" s="175" t="s">
        <v>312</v>
      </c>
      <c r="B179" s="201" t="s">
        <v>313</v>
      </c>
      <c r="C179" s="359">
        <f>912772+7715-5+1706</f>
        <v>922188</v>
      </c>
      <c r="D179" s="38"/>
      <c r="E179" s="38"/>
      <c r="F179" s="116"/>
      <c r="G179" s="134"/>
      <c r="H179" s="134"/>
      <c r="I179" s="134"/>
      <c r="J179" s="133"/>
      <c r="K179" s="133"/>
      <c r="L179" s="133"/>
      <c r="M179" s="133"/>
      <c r="N179" s="136"/>
      <c r="O179" s="406">
        <f t="shared" si="32"/>
        <v>922188</v>
      </c>
      <c r="P179" s="47"/>
      <c r="Q179" s="60"/>
      <c r="R179" s="316"/>
    </row>
    <row r="180" spans="1:18" ht="15">
      <c r="A180" s="175" t="s">
        <v>314</v>
      </c>
      <c r="B180" s="201" t="s">
        <v>134</v>
      </c>
      <c r="C180" s="359">
        <f>977400+11478+1+472</f>
        <v>989351</v>
      </c>
      <c r="D180" s="38"/>
      <c r="E180" s="38"/>
      <c r="F180" s="116"/>
      <c r="G180" s="134"/>
      <c r="H180" s="134"/>
      <c r="I180" s="134"/>
      <c r="J180" s="133"/>
      <c r="K180" s="133"/>
      <c r="L180" s="133"/>
      <c r="M180" s="133"/>
      <c r="N180" s="136"/>
      <c r="O180" s="406">
        <f t="shared" si="32"/>
        <v>989351</v>
      </c>
      <c r="P180" s="47"/>
      <c r="Q180" s="60"/>
      <c r="R180" s="316"/>
    </row>
    <row r="181" spans="1:18" ht="15">
      <c r="A181" s="175" t="s">
        <v>315</v>
      </c>
      <c r="B181" s="115" t="s">
        <v>135</v>
      </c>
      <c r="C181" s="359">
        <f>393507+2969-2+227</f>
        <v>396701</v>
      </c>
      <c r="D181" s="38"/>
      <c r="E181" s="38"/>
      <c r="F181" s="116"/>
      <c r="G181" s="134"/>
      <c r="H181" s="134"/>
      <c r="I181" s="134"/>
      <c r="J181" s="133"/>
      <c r="K181" s="133"/>
      <c r="L181" s="133"/>
      <c r="M181" s="133"/>
      <c r="N181" s="136"/>
      <c r="O181" s="406">
        <f t="shared" si="32"/>
        <v>396701</v>
      </c>
      <c r="P181" s="47"/>
      <c r="Q181" s="60"/>
      <c r="R181" s="316"/>
    </row>
    <row r="182" spans="1:18" ht="15">
      <c r="A182" s="175" t="s">
        <v>316</v>
      </c>
      <c r="B182" s="115" t="s">
        <v>193</v>
      </c>
      <c r="C182" s="359"/>
      <c r="D182" s="38"/>
      <c r="E182" s="38"/>
      <c r="F182" s="116"/>
      <c r="G182" s="134"/>
      <c r="H182" s="134"/>
      <c r="I182" s="121">
        <v>233704</v>
      </c>
      <c r="J182" s="136"/>
      <c r="K182" s="136"/>
      <c r="L182" s="136"/>
      <c r="M182" s="136"/>
      <c r="N182" s="136"/>
      <c r="O182" s="406">
        <f t="shared" si="32"/>
        <v>233704</v>
      </c>
      <c r="P182" s="47"/>
      <c r="Q182" s="60"/>
      <c r="R182" s="316"/>
    </row>
    <row r="183" spans="1:18" ht="15">
      <c r="A183" s="175" t="s">
        <v>317</v>
      </c>
      <c r="B183" s="115" t="s">
        <v>194</v>
      </c>
      <c r="C183" s="359"/>
      <c r="D183" s="38"/>
      <c r="E183" s="38"/>
      <c r="F183" s="116"/>
      <c r="G183" s="134"/>
      <c r="H183" s="134"/>
      <c r="I183" s="121"/>
      <c r="J183" s="133">
        <v>556393</v>
      </c>
      <c r="K183" s="136"/>
      <c r="L183" s="136"/>
      <c r="M183" s="136"/>
      <c r="N183" s="136"/>
      <c r="O183" s="406">
        <f t="shared" si="32"/>
        <v>556393</v>
      </c>
      <c r="P183" s="47"/>
      <c r="Q183" s="60"/>
      <c r="R183" s="316"/>
    </row>
    <row r="184" spans="1:18" ht="15">
      <c r="A184" s="175" t="s">
        <v>318</v>
      </c>
      <c r="B184" s="115" t="s">
        <v>365</v>
      </c>
      <c r="C184" s="359"/>
      <c r="D184" s="38"/>
      <c r="E184" s="38"/>
      <c r="F184" s="116"/>
      <c r="G184" s="134"/>
      <c r="H184" s="134"/>
      <c r="I184" s="121"/>
      <c r="J184" s="136"/>
      <c r="K184" s="136"/>
      <c r="L184" s="136"/>
      <c r="M184" s="136">
        <v>11250</v>
      </c>
      <c r="N184" s="133">
        <v>488391</v>
      </c>
      <c r="O184" s="406">
        <f t="shared" si="32"/>
        <v>499641</v>
      </c>
      <c r="P184" s="47"/>
      <c r="Q184" s="60"/>
      <c r="R184" s="316"/>
    </row>
    <row r="185" spans="1:18" ht="15">
      <c r="A185" s="175" t="s">
        <v>319</v>
      </c>
      <c r="B185" s="115" t="s">
        <v>196</v>
      </c>
      <c r="C185" s="359"/>
      <c r="D185" s="38"/>
      <c r="E185" s="38"/>
      <c r="F185" s="116"/>
      <c r="G185" s="232">
        <f>955723</f>
        <v>955723</v>
      </c>
      <c r="H185" s="134"/>
      <c r="I185" s="121"/>
      <c r="J185" s="136"/>
      <c r="K185" s="136"/>
      <c r="L185" s="136"/>
      <c r="M185" s="136"/>
      <c r="N185" s="136"/>
      <c r="O185" s="406">
        <f t="shared" si="32"/>
        <v>955723</v>
      </c>
      <c r="P185" s="47"/>
      <c r="Q185" s="60"/>
      <c r="R185" s="316"/>
    </row>
    <row r="186" spans="1:18" ht="15">
      <c r="A186" s="175" t="s">
        <v>320</v>
      </c>
      <c r="B186" s="115" t="s">
        <v>197</v>
      </c>
      <c r="C186" s="359"/>
      <c r="D186" s="116"/>
      <c r="E186" s="116"/>
      <c r="F186" s="116"/>
      <c r="G186" s="232">
        <f>442163+15000</f>
        <v>457163</v>
      </c>
      <c r="H186" s="121"/>
      <c r="I186" s="121"/>
      <c r="J186" s="136"/>
      <c r="K186" s="136"/>
      <c r="L186" s="136"/>
      <c r="M186" s="136"/>
      <c r="N186" s="136"/>
      <c r="O186" s="406">
        <f t="shared" si="32"/>
        <v>457163</v>
      </c>
      <c r="P186" s="47"/>
      <c r="Q186" s="60"/>
      <c r="R186" s="316"/>
    </row>
    <row r="187" spans="1:18" ht="15" customHeight="1">
      <c r="A187" s="173" t="s">
        <v>136</v>
      </c>
      <c r="B187" s="145" t="s">
        <v>137</v>
      </c>
      <c r="C187" s="405">
        <f>SUM(C188:C193)</f>
        <v>2341389</v>
      </c>
      <c r="D187" s="174">
        <f aca="true" t="shared" si="45" ref="D187:N187">SUM(D188:D193)</f>
        <v>0</v>
      </c>
      <c r="E187" s="174">
        <f t="shared" si="45"/>
        <v>0</v>
      </c>
      <c r="F187" s="174">
        <f t="shared" si="45"/>
        <v>0</v>
      </c>
      <c r="G187" s="54">
        <f t="shared" si="45"/>
        <v>0</v>
      </c>
      <c r="H187" s="174">
        <f t="shared" si="45"/>
        <v>0</v>
      </c>
      <c r="I187" s="174">
        <f t="shared" si="45"/>
        <v>0</v>
      </c>
      <c r="J187" s="174">
        <f t="shared" si="45"/>
        <v>157319</v>
      </c>
      <c r="K187" s="174">
        <f t="shared" si="45"/>
        <v>0</v>
      </c>
      <c r="L187" s="174">
        <f t="shared" si="45"/>
        <v>0</v>
      </c>
      <c r="M187" s="174">
        <f t="shared" si="45"/>
        <v>0</v>
      </c>
      <c r="N187" s="174">
        <f t="shared" si="45"/>
        <v>0</v>
      </c>
      <c r="O187" s="406">
        <f t="shared" si="32"/>
        <v>2498708</v>
      </c>
      <c r="P187" s="60"/>
      <c r="Q187" s="60"/>
      <c r="R187" s="316"/>
    </row>
    <row r="188" spans="1:18" ht="15">
      <c r="A188" s="175" t="s">
        <v>321</v>
      </c>
      <c r="B188" s="115" t="s">
        <v>18</v>
      </c>
      <c r="C188" s="116">
        <f>483404+198639+82+453</f>
        <v>682578</v>
      </c>
      <c r="D188" s="38"/>
      <c r="E188" s="38"/>
      <c r="F188" s="116"/>
      <c r="G188" s="134"/>
      <c r="H188" s="134"/>
      <c r="I188" s="134"/>
      <c r="J188" s="133"/>
      <c r="K188" s="133"/>
      <c r="L188" s="133"/>
      <c r="M188" s="133"/>
      <c r="N188" s="136"/>
      <c r="O188" s="406">
        <f aca="true" t="shared" si="46" ref="O188:O211">SUM(C188:N188)</f>
        <v>682578</v>
      </c>
      <c r="P188" s="47"/>
      <c r="Q188" s="60"/>
      <c r="R188" s="316"/>
    </row>
    <row r="189" spans="1:18" ht="15">
      <c r="A189" s="175" t="s">
        <v>322</v>
      </c>
      <c r="B189" s="115" t="s">
        <v>157</v>
      </c>
      <c r="C189" s="116">
        <f>171382+117249+272</f>
        <v>288903</v>
      </c>
      <c r="D189" s="38"/>
      <c r="E189" s="38"/>
      <c r="F189" s="116"/>
      <c r="G189" s="134"/>
      <c r="H189" s="134"/>
      <c r="I189" s="134"/>
      <c r="J189" s="133"/>
      <c r="K189" s="133"/>
      <c r="L189" s="133"/>
      <c r="M189" s="133"/>
      <c r="N189" s="136"/>
      <c r="O189" s="406">
        <f t="shared" si="46"/>
        <v>288903</v>
      </c>
      <c r="P189" s="47"/>
      <c r="Q189" s="60"/>
      <c r="R189" s="316"/>
    </row>
    <row r="190" spans="1:18" ht="15">
      <c r="A190" s="175" t="s">
        <v>323</v>
      </c>
      <c r="B190" s="115" t="s">
        <v>138</v>
      </c>
      <c r="C190" s="359">
        <v>767168</v>
      </c>
      <c r="D190" s="38"/>
      <c r="E190" s="38"/>
      <c r="F190" s="116"/>
      <c r="G190" s="134"/>
      <c r="H190" s="134"/>
      <c r="I190" s="134"/>
      <c r="J190" s="133"/>
      <c r="K190" s="133"/>
      <c r="L190" s="133"/>
      <c r="M190" s="133"/>
      <c r="N190" s="136"/>
      <c r="O190" s="406">
        <f t="shared" si="46"/>
        <v>767168</v>
      </c>
      <c r="P190" s="47"/>
      <c r="Q190" s="60"/>
      <c r="R190" s="316"/>
    </row>
    <row r="191" spans="1:18" ht="15">
      <c r="A191" s="175" t="s">
        <v>324</v>
      </c>
      <c r="B191" s="115" t="s">
        <v>139</v>
      </c>
      <c r="C191" s="359">
        <v>466566</v>
      </c>
      <c r="D191" s="38"/>
      <c r="E191" s="38"/>
      <c r="F191" s="116"/>
      <c r="G191" s="121"/>
      <c r="H191" s="134"/>
      <c r="I191" s="134"/>
      <c r="J191" s="133"/>
      <c r="K191" s="133"/>
      <c r="L191" s="133"/>
      <c r="M191" s="133"/>
      <c r="N191" s="136"/>
      <c r="O191" s="406">
        <f t="shared" si="46"/>
        <v>466566</v>
      </c>
      <c r="P191" s="47"/>
      <c r="Q191" s="60"/>
      <c r="R191" s="316"/>
    </row>
    <row r="192" spans="1:18" ht="15">
      <c r="A192" s="175" t="s">
        <v>325</v>
      </c>
      <c r="B192" s="115" t="s">
        <v>140</v>
      </c>
      <c r="C192" s="243">
        <f>136173+1</f>
        <v>136174</v>
      </c>
      <c r="D192" s="38"/>
      <c r="E192" s="38"/>
      <c r="F192" s="116"/>
      <c r="G192" s="134"/>
      <c r="H192" s="134"/>
      <c r="I192" s="134"/>
      <c r="J192" s="133"/>
      <c r="K192" s="133"/>
      <c r="L192" s="133"/>
      <c r="M192" s="133"/>
      <c r="N192" s="136"/>
      <c r="O192" s="406">
        <f t="shared" si="46"/>
        <v>136174</v>
      </c>
      <c r="P192" s="47"/>
      <c r="Q192" s="60"/>
      <c r="R192" s="316"/>
    </row>
    <row r="193" spans="1:18" ht="15">
      <c r="A193" s="175" t="s">
        <v>326</v>
      </c>
      <c r="B193" s="115" t="s">
        <v>198</v>
      </c>
      <c r="C193" s="243"/>
      <c r="D193" s="38"/>
      <c r="E193" s="38"/>
      <c r="F193" s="116"/>
      <c r="G193" s="134"/>
      <c r="H193" s="134"/>
      <c r="I193" s="134"/>
      <c r="J193" s="242">
        <v>157319</v>
      </c>
      <c r="K193" s="133"/>
      <c r="L193" s="133"/>
      <c r="M193" s="133"/>
      <c r="N193" s="136"/>
      <c r="O193" s="406">
        <f t="shared" si="46"/>
        <v>157319</v>
      </c>
      <c r="P193" s="47"/>
      <c r="Q193" s="60"/>
      <c r="R193" s="316"/>
    </row>
    <row r="194" spans="1:18" ht="15">
      <c r="A194" s="173" t="s">
        <v>199</v>
      </c>
      <c r="B194" s="145" t="s">
        <v>200</v>
      </c>
      <c r="C194" s="54">
        <f>SUM(C195:C196)</f>
        <v>185000</v>
      </c>
      <c r="D194" s="38"/>
      <c r="E194" s="38"/>
      <c r="F194" s="116"/>
      <c r="G194" s="134"/>
      <c r="H194" s="134"/>
      <c r="I194" s="134"/>
      <c r="J194" s="54">
        <f>SUM(J195:J196)</f>
        <v>104966</v>
      </c>
      <c r="K194" s="133"/>
      <c r="L194" s="133"/>
      <c r="M194" s="133"/>
      <c r="N194" s="136"/>
      <c r="O194" s="406">
        <f>SUM(C194:N194)</f>
        <v>289966</v>
      </c>
      <c r="P194" s="47"/>
      <c r="Q194" s="60"/>
      <c r="R194" s="316"/>
    </row>
    <row r="195" spans="1:18" ht="15">
      <c r="A195" s="175" t="s">
        <v>673</v>
      </c>
      <c r="B195" s="115" t="s">
        <v>675</v>
      </c>
      <c r="C195" s="116">
        <v>40000</v>
      </c>
      <c r="D195" s="116"/>
      <c r="E195" s="116"/>
      <c r="F195" s="116"/>
      <c r="G195" s="134"/>
      <c r="H195" s="134"/>
      <c r="I195" s="134"/>
      <c r="J195" s="136">
        <v>88256</v>
      </c>
      <c r="K195" s="136"/>
      <c r="L195" s="136"/>
      <c r="M195" s="136"/>
      <c r="N195" s="136"/>
      <c r="O195" s="406">
        <f t="shared" si="46"/>
        <v>128256</v>
      </c>
      <c r="P195" s="47"/>
      <c r="Q195" s="60"/>
      <c r="R195" s="316"/>
    </row>
    <row r="196" spans="1:18" ht="15">
      <c r="A196" s="175" t="s">
        <v>674</v>
      </c>
      <c r="B196" s="115" t="s">
        <v>676</v>
      </c>
      <c r="C196" s="116">
        <v>145000</v>
      </c>
      <c r="D196" s="116"/>
      <c r="E196" s="116"/>
      <c r="F196" s="116"/>
      <c r="G196" s="134"/>
      <c r="H196" s="134"/>
      <c r="I196" s="134"/>
      <c r="J196" s="136">
        <v>16710</v>
      </c>
      <c r="K196" s="136"/>
      <c r="L196" s="136"/>
      <c r="M196" s="136"/>
      <c r="N196" s="136"/>
      <c r="O196" s="406">
        <f t="shared" si="46"/>
        <v>161710</v>
      </c>
      <c r="P196" s="47"/>
      <c r="Q196" s="60"/>
      <c r="R196" s="316"/>
    </row>
    <row r="197" spans="1:18" ht="29.25">
      <c r="A197" s="173" t="s">
        <v>616</v>
      </c>
      <c r="B197" s="145" t="s">
        <v>427</v>
      </c>
      <c r="C197" s="405">
        <f>269900+20000+30000</f>
        <v>319900</v>
      </c>
      <c r="D197" s="174"/>
      <c r="E197" s="174"/>
      <c r="F197" s="174"/>
      <c r="G197" s="204"/>
      <c r="H197" s="204"/>
      <c r="I197" s="204"/>
      <c r="J197" s="205"/>
      <c r="K197" s="205"/>
      <c r="L197" s="205"/>
      <c r="M197" s="205"/>
      <c r="N197" s="205"/>
      <c r="O197" s="406">
        <f t="shared" si="46"/>
        <v>319900</v>
      </c>
      <c r="P197" s="60"/>
      <c r="Q197" s="60"/>
      <c r="R197" s="316"/>
    </row>
    <row r="198" spans="1:18" ht="30.75" customHeight="1" thickBot="1">
      <c r="A198" s="206" t="s">
        <v>141</v>
      </c>
      <c r="B198" s="207" t="s">
        <v>327</v>
      </c>
      <c r="C198" s="428">
        <f aca="true" t="shared" si="47" ref="C198:N198">SUM(C199:C207)</f>
        <v>3105469</v>
      </c>
      <c r="D198" s="208">
        <f t="shared" si="47"/>
        <v>0</v>
      </c>
      <c r="E198" s="208">
        <f t="shared" si="47"/>
        <v>0</v>
      </c>
      <c r="F198" s="208">
        <f t="shared" si="47"/>
        <v>0</v>
      </c>
      <c r="G198" s="429">
        <f t="shared" si="47"/>
        <v>18668</v>
      </c>
      <c r="H198" s="429">
        <f t="shared" si="47"/>
        <v>0</v>
      </c>
      <c r="I198" s="429">
        <f t="shared" si="47"/>
        <v>17737</v>
      </c>
      <c r="J198" s="208">
        <f t="shared" si="47"/>
        <v>11386</v>
      </c>
      <c r="K198" s="208">
        <f t="shared" si="47"/>
        <v>19162</v>
      </c>
      <c r="L198" s="208">
        <f t="shared" si="47"/>
        <v>17115</v>
      </c>
      <c r="M198" s="208">
        <f t="shared" si="47"/>
        <v>14092</v>
      </c>
      <c r="N198" s="208">
        <f t="shared" si="47"/>
        <v>15368</v>
      </c>
      <c r="O198" s="430">
        <f>SUM(C198:N198)</f>
        <v>3218997</v>
      </c>
      <c r="P198" s="60"/>
      <c r="Q198" s="60"/>
      <c r="R198" s="316"/>
    </row>
    <row r="199" spans="1:18" ht="15">
      <c r="A199" s="190" t="s">
        <v>328</v>
      </c>
      <c r="B199" s="244" t="s">
        <v>520</v>
      </c>
      <c r="C199" s="359"/>
      <c r="D199" s="38"/>
      <c r="E199" s="38"/>
      <c r="F199" s="116"/>
      <c r="G199" s="134"/>
      <c r="H199" s="134"/>
      <c r="I199" s="134"/>
      <c r="J199" s="133"/>
      <c r="K199" s="133">
        <v>19162</v>
      </c>
      <c r="L199" s="133">
        <v>17115</v>
      </c>
      <c r="M199" s="133"/>
      <c r="N199" s="136"/>
      <c r="O199" s="406">
        <f t="shared" si="46"/>
        <v>36277</v>
      </c>
      <c r="P199" s="47"/>
      <c r="Q199" s="60"/>
      <c r="R199" s="316"/>
    </row>
    <row r="200" spans="1:18" ht="15">
      <c r="A200" s="190" t="s">
        <v>329</v>
      </c>
      <c r="B200" s="454" t="s">
        <v>521</v>
      </c>
      <c r="C200" s="359"/>
      <c r="D200" s="38"/>
      <c r="E200" s="38"/>
      <c r="F200" s="116"/>
      <c r="G200" s="121">
        <v>18668</v>
      </c>
      <c r="H200" s="134"/>
      <c r="I200" s="121">
        <v>17737</v>
      </c>
      <c r="J200" s="133">
        <v>11386</v>
      </c>
      <c r="K200" s="133"/>
      <c r="L200" s="133"/>
      <c r="M200" s="133">
        <v>14092</v>
      </c>
      <c r="N200" s="136">
        <v>15368</v>
      </c>
      <c r="O200" s="406">
        <f t="shared" si="46"/>
        <v>77251</v>
      </c>
      <c r="P200" s="47"/>
      <c r="Q200" s="60"/>
      <c r="R200" s="316"/>
    </row>
    <row r="201" spans="1:18" ht="30">
      <c r="A201" s="175" t="s">
        <v>540</v>
      </c>
      <c r="B201" s="192" t="s">
        <v>541</v>
      </c>
      <c r="C201" s="359">
        <v>1638</v>
      </c>
      <c r="D201" s="38"/>
      <c r="E201" s="38"/>
      <c r="F201" s="116"/>
      <c r="G201" s="121"/>
      <c r="H201" s="134"/>
      <c r="I201" s="121"/>
      <c r="J201" s="133"/>
      <c r="K201" s="133"/>
      <c r="L201" s="133"/>
      <c r="M201" s="133"/>
      <c r="N201" s="136"/>
      <c r="O201" s="406">
        <f t="shared" si="46"/>
        <v>1638</v>
      </c>
      <c r="P201" s="47"/>
      <c r="Q201" s="60"/>
      <c r="R201" s="316"/>
    </row>
    <row r="202" spans="1:18" ht="60">
      <c r="A202" s="175" t="s">
        <v>406</v>
      </c>
      <c r="B202" s="192" t="s">
        <v>596</v>
      </c>
      <c r="C202" s="359">
        <v>7959</v>
      </c>
      <c r="D202" s="38"/>
      <c r="E202" s="38"/>
      <c r="F202" s="116"/>
      <c r="G202" s="134"/>
      <c r="H202" s="134"/>
      <c r="I202" s="134"/>
      <c r="J202" s="133"/>
      <c r="K202" s="133"/>
      <c r="L202" s="133"/>
      <c r="M202" s="133"/>
      <c r="N202" s="136"/>
      <c r="O202" s="406">
        <f t="shared" si="46"/>
        <v>7959</v>
      </c>
      <c r="P202" s="47"/>
      <c r="Q202" s="60"/>
      <c r="R202" s="316"/>
    </row>
    <row r="203" spans="1:18" ht="60">
      <c r="A203" s="175" t="s">
        <v>428</v>
      </c>
      <c r="B203" s="192" t="s">
        <v>597</v>
      </c>
      <c r="C203" s="359">
        <v>13159</v>
      </c>
      <c r="D203" s="38"/>
      <c r="E203" s="38"/>
      <c r="F203" s="116"/>
      <c r="G203" s="134"/>
      <c r="H203" s="134"/>
      <c r="I203" s="134"/>
      <c r="J203" s="133"/>
      <c r="K203" s="133"/>
      <c r="L203" s="133"/>
      <c r="M203" s="133"/>
      <c r="N203" s="136"/>
      <c r="O203" s="406">
        <f t="shared" si="46"/>
        <v>13159</v>
      </c>
      <c r="P203" s="47"/>
      <c r="Q203" s="60"/>
      <c r="R203" s="316"/>
    </row>
    <row r="204" spans="1:18" ht="30">
      <c r="A204" s="190" t="s">
        <v>429</v>
      </c>
      <c r="B204" s="365" t="s">
        <v>430</v>
      </c>
      <c r="C204" s="359">
        <v>25216</v>
      </c>
      <c r="D204" s="38"/>
      <c r="E204" s="38"/>
      <c r="F204" s="116"/>
      <c r="G204" s="121"/>
      <c r="H204" s="134"/>
      <c r="I204" s="134"/>
      <c r="J204" s="133"/>
      <c r="K204" s="133"/>
      <c r="L204" s="133"/>
      <c r="M204" s="133"/>
      <c r="N204" s="136"/>
      <c r="O204" s="406">
        <f t="shared" si="46"/>
        <v>25216</v>
      </c>
      <c r="P204" s="47"/>
      <c r="Q204" s="60"/>
      <c r="R204" s="316"/>
    </row>
    <row r="205" spans="1:18" ht="30">
      <c r="A205" s="175" t="s">
        <v>431</v>
      </c>
      <c r="B205" s="323" t="s">
        <v>432</v>
      </c>
      <c r="C205" s="359">
        <f>3000000+20350+17279</f>
        <v>3037629</v>
      </c>
      <c r="D205" s="116"/>
      <c r="E205" s="116"/>
      <c r="F205" s="116"/>
      <c r="G205" s="134"/>
      <c r="H205" s="126"/>
      <c r="I205" s="126"/>
      <c r="J205" s="127"/>
      <c r="K205" s="127"/>
      <c r="L205" s="127"/>
      <c r="M205" s="127"/>
      <c r="N205" s="233"/>
      <c r="O205" s="406">
        <f t="shared" si="46"/>
        <v>3037629</v>
      </c>
      <c r="P205" s="47"/>
      <c r="Q205" s="60"/>
      <c r="R205" s="316"/>
    </row>
    <row r="206" spans="1:18" ht="45">
      <c r="A206" s="190" t="s">
        <v>460</v>
      </c>
      <c r="B206" s="192" t="s">
        <v>600</v>
      </c>
      <c r="C206" s="359">
        <v>577</v>
      </c>
      <c r="D206" s="116"/>
      <c r="E206" s="116"/>
      <c r="F206" s="116"/>
      <c r="G206" s="134"/>
      <c r="H206" s="126"/>
      <c r="I206" s="126"/>
      <c r="J206" s="127"/>
      <c r="K206" s="127"/>
      <c r="L206" s="127"/>
      <c r="M206" s="127"/>
      <c r="N206" s="233"/>
      <c r="O206" s="406">
        <f>SUM(C206:N206)</f>
        <v>577</v>
      </c>
      <c r="P206" s="47"/>
      <c r="Q206" s="60"/>
      <c r="R206" s="316"/>
    </row>
    <row r="207" spans="1:18" ht="45" customHeight="1" thickBot="1">
      <c r="A207" s="175" t="s">
        <v>466</v>
      </c>
      <c r="B207" s="323" t="s">
        <v>598</v>
      </c>
      <c r="C207" s="359">
        <f>20385-1094</f>
        <v>19291</v>
      </c>
      <c r="D207" s="116"/>
      <c r="E207" s="116"/>
      <c r="F207" s="116"/>
      <c r="G207" s="134"/>
      <c r="H207" s="126"/>
      <c r="I207" s="126"/>
      <c r="J207" s="127"/>
      <c r="K207" s="127"/>
      <c r="L207" s="127"/>
      <c r="M207" s="127"/>
      <c r="N207" s="233"/>
      <c r="O207" s="406">
        <f t="shared" si="46"/>
        <v>19291</v>
      </c>
      <c r="P207" s="47"/>
      <c r="Q207" s="60"/>
      <c r="R207" s="316"/>
    </row>
    <row r="208" spans="1:18" ht="15.75" thickBot="1">
      <c r="A208" s="186" t="s">
        <v>17</v>
      </c>
      <c r="B208" s="108" t="s">
        <v>142</v>
      </c>
      <c r="C208" s="402">
        <f>SUM(C209+C210+C211+C212)</f>
        <v>2234843</v>
      </c>
      <c r="D208" s="128">
        <f aca="true" t="shared" si="48" ref="D208:M208">SUM(D209+D210+D211+D212)</f>
        <v>17921</v>
      </c>
      <c r="E208" s="128">
        <f t="shared" si="48"/>
        <v>0</v>
      </c>
      <c r="F208" s="128">
        <f t="shared" si="48"/>
        <v>0</v>
      </c>
      <c r="G208" s="109">
        <f t="shared" si="48"/>
        <v>68663</v>
      </c>
      <c r="H208" s="128">
        <f t="shared" si="48"/>
        <v>309608</v>
      </c>
      <c r="I208" s="128">
        <f t="shared" si="48"/>
        <v>52128</v>
      </c>
      <c r="J208" s="128">
        <f t="shared" si="48"/>
        <v>685108</v>
      </c>
      <c r="K208" s="128">
        <f t="shared" si="48"/>
        <v>23132</v>
      </c>
      <c r="L208" s="128">
        <f t="shared" si="48"/>
        <v>18190</v>
      </c>
      <c r="M208" s="128">
        <f t="shared" si="48"/>
        <v>23060</v>
      </c>
      <c r="N208" s="128">
        <f>SUM(N209+N210+N211+N212)</f>
        <v>30342</v>
      </c>
      <c r="O208" s="393">
        <f t="shared" si="46"/>
        <v>3462995</v>
      </c>
      <c r="P208" s="60"/>
      <c r="Q208" s="60"/>
      <c r="R208" s="316"/>
    </row>
    <row r="209" spans="1:18" ht="16.5" customHeight="1">
      <c r="A209" s="173" t="s">
        <v>243</v>
      </c>
      <c r="B209" s="209" t="s">
        <v>244</v>
      </c>
      <c r="C209" s="172">
        <v>90533</v>
      </c>
      <c r="D209" s="210"/>
      <c r="E209" s="210"/>
      <c r="F209" s="172"/>
      <c r="G209" s="212">
        <v>800</v>
      </c>
      <c r="H209" s="211"/>
      <c r="I209" s="212"/>
      <c r="J209" s="213">
        <v>88700</v>
      </c>
      <c r="K209" s="213"/>
      <c r="L209" s="213"/>
      <c r="M209" s="213"/>
      <c r="N209" s="245"/>
      <c r="O209" s="404">
        <f t="shared" si="46"/>
        <v>180033</v>
      </c>
      <c r="P209" s="47"/>
      <c r="Q209" s="60"/>
      <c r="R209" s="316"/>
    </row>
    <row r="210" spans="1:18" ht="15">
      <c r="A210" s="169" t="s">
        <v>201</v>
      </c>
      <c r="B210" s="170" t="s">
        <v>202</v>
      </c>
      <c r="C210" s="171">
        <v>20332</v>
      </c>
      <c r="D210" s="171"/>
      <c r="E210" s="171"/>
      <c r="F210" s="171"/>
      <c r="G210" s="130">
        <v>1800</v>
      </c>
      <c r="H210" s="130">
        <v>1800</v>
      </c>
      <c r="I210" s="130">
        <v>1800</v>
      </c>
      <c r="J210" s="130">
        <v>1800</v>
      </c>
      <c r="K210" s="54">
        <v>1800</v>
      </c>
      <c r="L210" s="246">
        <v>1800</v>
      </c>
      <c r="M210" s="171">
        <v>1800</v>
      </c>
      <c r="N210" s="171">
        <v>1800</v>
      </c>
      <c r="O210" s="395">
        <f t="shared" si="46"/>
        <v>34732</v>
      </c>
      <c r="P210" s="47"/>
      <c r="Q210" s="60"/>
      <c r="R210" s="316"/>
    </row>
    <row r="211" spans="1:18" ht="15">
      <c r="A211" s="169" t="s">
        <v>143</v>
      </c>
      <c r="B211" s="170" t="s">
        <v>144</v>
      </c>
      <c r="C211" s="403"/>
      <c r="D211" s="113"/>
      <c r="E211" s="113"/>
      <c r="F211" s="129"/>
      <c r="G211" s="143"/>
      <c r="H211" s="143"/>
      <c r="I211" s="143"/>
      <c r="J211" s="132"/>
      <c r="K211" s="132"/>
      <c r="L211" s="132"/>
      <c r="M211" s="132"/>
      <c r="N211" s="153"/>
      <c r="O211" s="406">
        <f t="shared" si="46"/>
        <v>0</v>
      </c>
      <c r="P211" s="47"/>
      <c r="Q211" s="60"/>
      <c r="R211" s="316"/>
    </row>
    <row r="212" spans="1:18" ht="29.25">
      <c r="A212" s="173" t="s">
        <v>145</v>
      </c>
      <c r="B212" s="145" t="s">
        <v>146</v>
      </c>
      <c r="C212" s="405">
        <f>SUM(C213:C221)</f>
        <v>2123978</v>
      </c>
      <c r="D212" s="174">
        <f aca="true" t="shared" si="49" ref="D212:N212">SUM(D213:D221)</f>
        <v>17921</v>
      </c>
      <c r="E212" s="174">
        <f t="shared" si="49"/>
        <v>0</v>
      </c>
      <c r="F212" s="174">
        <f t="shared" si="49"/>
        <v>0</v>
      </c>
      <c r="G212" s="54">
        <f t="shared" si="49"/>
        <v>66063</v>
      </c>
      <c r="H212" s="174">
        <f t="shared" si="49"/>
        <v>307808</v>
      </c>
      <c r="I212" s="174">
        <f t="shared" si="49"/>
        <v>50328</v>
      </c>
      <c r="J212" s="174">
        <f t="shared" si="49"/>
        <v>594608</v>
      </c>
      <c r="K212" s="174">
        <f t="shared" si="49"/>
        <v>21332</v>
      </c>
      <c r="L212" s="174">
        <f t="shared" si="49"/>
        <v>16390</v>
      </c>
      <c r="M212" s="174">
        <f t="shared" si="49"/>
        <v>21260</v>
      </c>
      <c r="N212" s="174">
        <f t="shared" si="49"/>
        <v>28542</v>
      </c>
      <c r="O212" s="406">
        <f>SUM(C212:N212)</f>
        <v>3248230</v>
      </c>
      <c r="P212" s="60"/>
      <c r="Q212" s="60"/>
      <c r="R212" s="316"/>
    </row>
    <row r="213" spans="1:18" ht="15">
      <c r="A213" s="175" t="s">
        <v>330</v>
      </c>
      <c r="B213" s="115" t="s">
        <v>147</v>
      </c>
      <c r="C213" s="359">
        <v>920976</v>
      </c>
      <c r="D213" s="38">
        <f>15583+2392-54</f>
        <v>17921</v>
      </c>
      <c r="E213" s="38"/>
      <c r="F213" s="116"/>
      <c r="G213" s="121">
        <v>1705</v>
      </c>
      <c r="H213" s="121"/>
      <c r="I213" s="121">
        <v>773</v>
      </c>
      <c r="J213" s="133">
        <v>2553</v>
      </c>
      <c r="K213" s="133">
        <v>1010</v>
      </c>
      <c r="L213" s="133">
        <v>640</v>
      </c>
      <c r="M213" s="133">
        <v>2860</v>
      </c>
      <c r="N213" s="136">
        <v>800</v>
      </c>
      <c r="O213" s="406">
        <f aca="true" t="shared" si="50" ref="O213:O227">SUM(C213:N213)</f>
        <v>949238</v>
      </c>
      <c r="P213" s="47"/>
      <c r="Q213" s="60"/>
      <c r="R213" s="316"/>
    </row>
    <row r="214" spans="1:18" ht="15">
      <c r="A214" s="175" t="s">
        <v>331</v>
      </c>
      <c r="B214" s="115" t="s">
        <v>34</v>
      </c>
      <c r="C214" s="359">
        <f>1281203-278233</f>
        <v>1002970</v>
      </c>
      <c r="D214" s="38"/>
      <c r="E214" s="38"/>
      <c r="F214" s="116"/>
      <c r="G214" s="121">
        <v>64358</v>
      </c>
      <c r="H214" s="121">
        <v>38274</v>
      </c>
      <c r="I214" s="121">
        <v>49005</v>
      </c>
      <c r="J214" s="133">
        <v>48594</v>
      </c>
      <c r="K214" s="133">
        <v>20322</v>
      </c>
      <c r="L214" s="133">
        <v>15750</v>
      </c>
      <c r="M214" s="133">
        <v>18400</v>
      </c>
      <c r="N214" s="136">
        <v>27742</v>
      </c>
      <c r="O214" s="406">
        <f t="shared" si="50"/>
        <v>1285415</v>
      </c>
      <c r="P214" s="47"/>
      <c r="Q214" s="60"/>
      <c r="R214" s="316"/>
    </row>
    <row r="215" spans="1:18" ht="15">
      <c r="A215" s="175" t="s">
        <v>522</v>
      </c>
      <c r="B215" s="115" t="s">
        <v>523</v>
      </c>
      <c r="C215" s="359">
        <v>158482</v>
      </c>
      <c r="D215" s="38"/>
      <c r="E215" s="38"/>
      <c r="F215" s="116"/>
      <c r="G215" s="121"/>
      <c r="H215" s="121"/>
      <c r="I215" s="121"/>
      <c r="J215" s="133"/>
      <c r="K215" s="133"/>
      <c r="L215" s="133"/>
      <c r="M215" s="133"/>
      <c r="N215" s="136"/>
      <c r="O215" s="406">
        <f t="shared" si="50"/>
        <v>158482</v>
      </c>
      <c r="P215" s="47"/>
      <c r="Q215" s="60"/>
      <c r="R215" s="316"/>
    </row>
    <row r="216" spans="1:18" ht="15">
      <c r="A216" s="175" t="s">
        <v>332</v>
      </c>
      <c r="B216" s="115" t="s">
        <v>204</v>
      </c>
      <c r="C216" s="359"/>
      <c r="D216" s="38"/>
      <c r="E216" s="38"/>
      <c r="F216" s="116"/>
      <c r="G216" s="121"/>
      <c r="H216" s="121">
        <v>269534</v>
      </c>
      <c r="I216" s="121"/>
      <c r="J216" s="133"/>
      <c r="K216" s="133"/>
      <c r="L216" s="133"/>
      <c r="M216" s="133"/>
      <c r="N216" s="136"/>
      <c r="O216" s="406">
        <f t="shared" si="50"/>
        <v>269534</v>
      </c>
      <c r="P216" s="47"/>
      <c r="Q216" s="60"/>
      <c r="R216" s="316"/>
    </row>
    <row r="217" spans="1:18" ht="15">
      <c r="A217" s="175" t="s">
        <v>333</v>
      </c>
      <c r="B217" s="115" t="s">
        <v>205</v>
      </c>
      <c r="C217" s="359"/>
      <c r="D217" s="38"/>
      <c r="E217" s="38"/>
      <c r="F217" s="116"/>
      <c r="G217" s="121"/>
      <c r="H217" s="121"/>
      <c r="I217" s="121"/>
      <c r="J217" s="133">
        <v>539228</v>
      </c>
      <c r="K217" s="133"/>
      <c r="L217" s="133"/>
      <c r="M217" s="133"/>
      <c r="N217" s="136"/>
      <c r="O217" s="406">
        <f>SUM(C217:N217)</f>
        <v>539228</v>
      </c>
      <c r="P217" s="47"/>
      <c r="Q217" s="60"/>
      <c r="R217" s="316"/>
    </row>
    <row r="218" spans="1:18" ht="30">
      <c r="A218" s="175" t="s">
        <v>611</v>
      </c>
      <c r="B218" s="244" t="s">
        <v>613</v>
      </c>
      <c r="C218" s="359">
        <v>20000</v>
      </c>
      <c r="D218" s="38"/>
      <c r="E218" s="38"/>
      <c r="F218" s="116"/>
      <c r="G218" s="121"/>
      <c r="H218" s="121"/>
      <c r="I218" s="121"/>
      <c r="J218" s="136"/>
      <c r="K218" s="136"/>
      <c r="L218" s="136"/>
      <c r="M218" s="136"/>
      <c r="N218" s="136"/>
      <c r="O218" s="406">
        <f>SUM(C218:N218)</f>
        <v>20000</v>
      </c>
      <c r="P218" s="47"/>
      <c r="Q218" s="60"/>
      <c r="R218" s="316"/>
    </row>
    <row r="219" spans="1:18" ht="15">
      <c r="A219" s="175" t="s">
        <v>334</v>
      </c>
      <c r="B219" s="115" t="s">
        <v>203</v>
      </c>
      <c r="C219" s="116">
        <v>16550</v>
      </c>
      <c r="D219" s="38"/>
      <c r="E219" s="38"/>
      <c r="F219" s="116"/>
      <c r="G219" s="134"/>
      <c r="H219" s="121"/>
      <c r="I219" s="121">
        <v>550</v>
      </c>
      <c r="J219" s="136">
        <v>4233</v>
      </c>
      <c r="K219" s="136"/>
      <c r="L219" s="136"/>
      <c r="M219" s="136"/>
      <c r="N219" s="136"/>
      <c r="O219" s="406">
        <f t="shared" si="50"/>
        <v>21333</v>
      </c>
      <c r="P219" s="47"/>
      <c r="Q219" s="60"/>
      <c r="R219" s="316"/>
    </row>
    <row r="220" spans="1:18" ht="45">
      <c r="A220" s="175" t="s">
        <v>456</v>
      </c>
      <c r="B220" s="323" t="s">
        <v>601</v>
      </c>
      <c r="C220" s="243">
        <v>5000</v>
      </c>
      <c r="D220" s="38"/>
      <c r="E220" s="38"/>
      <c r="F220" s="38"/>
      <c r="G220" s="134"/>
      <c r="H220" s="134"/>
      <c r="I220" s="134"/>
      <c r="J220" s="133"/>
      <c r="K220" s="133"/>
      <c r="L220" s="133"/>
      <c r="M220" s="133"/>
      <c r="N220" s="199"/>
      <c r="O220" s="406">
        <f t="shared" si="50"/>
        <v>5000</v>
      </c>
      <c r="P220" s="47"/>
      <c r="Q220" s="60"/>
      <c r="R220" s="316"/>
    </row>
    <row r="221" spans="1:18" ht="15.75" thickBot="1">
      <c r="A221" s="190"/>
      <c r="B221" s="362"/>
      <c r="C221" s="410"/>
      <c r="D221" s="147"/>
      <c r="E221" s="147"/>
      <c r="F221" s="147"/>
      <c r="G221" s="187"/>
      <c r="H221" s="187"/>
      <c r="I221" s="187"/>
      <c r="J221" s="198"/>
      <c r="K221" s="198"/>
      <c r="L221" s="198"/>
      <c r="M221" s="198"/>
      <c r="N221" s="198"/>
      <c r="O221" s="406"/>
      <c r="P221" s="47"/>
      <c r="Q221" s="60"/>
      <c r="R221" s="316"/>
    </row>
    <row r="222" spans="1:18" ht="15.75" thickBot="1">
      <c r="A222" s="214"/>
      <c r="B222" s="215" t="s">
        <v>36</v>
      </c>
      <c r="C222" s="402">
        <f aca="true" t="shared" si="51" ref="C222:N222">C56+C67+C72+C92+C106+C131+C135+C164+C208</f>
        <v>43295803</v>
      </c>
      <c r="D222" s="128">
        <f t="shared" si="51"/>
        <v>12600563</v>
      </c>
      <c r="E222" s="128">
        <f t="shared" si="51"/>
        <v>1318160</v>
      </c>
      <c r="F222" s="128">
        <f t="shared" si="51"/>
        <v>364950</v>
      </c>
      <c r="G222" s="109">
        <f t="shared" si="51"/>
        <v>2009388</v>
      </c>
      <c r="H222" s="109">
        <f t="shared" si="51"/>
        <v>714584</v>
      </c>
      <c r="I222" s="109">
        <f t="shared" si="51"/>
        <v>914257</v>
      </c>
      <c r="J222" s="128">
        <f t="shared" si="51"/>
        <v>2714939</v>
      </c>
      <c r="K222" s="128">
        <f t="shared" si="51"/>
        <v>239688</v>
      </c>
      <c r="L222" s="128">
        <f t="shared" si="51"/>
        <v>277543</v>
      </c>
      <c r="M222" s="128">
        <f t="shared" si="51"/>
        <v>309089</v>
      </c>
      <c r="N222" s="128">
        <f t="shared" si="51"/>
        <v>853250</v>
      </c>
      <c r="O222" s="393">
        <f>SUM(C222:N222)</f>
        <v>65612214</v>
      </c>
      <c r="P222" s="60"/>
      <c r="Q222" s="60"/>
      <c r="R222" s="316"/>
    </row>
    <row r="223" spans="1:18" ht="15">
      <c r="A223" s="160" t="s">
        <v>206</v>
      </c>
      <c r="B223" s="216" t="s">
        <v>457</v>
      </c>
      <c r="C223" s="431">
        <f>1502697-13029</f>
        <v>1489668</v>
      </c>
      <c r="D223" s="217"/>
      <c r="E223" s="217"/>
      <c r="F223" s="432">
        <v>7444</v>
      </c>
      <c r="G223" s="433">
        <v>13049</v>
      </c>
      <c r="H223" s="433">
        <v>8645</v>
      </c>
      <c r="I223" s="433">
        <v>24740</v>
      </c>
      <c r="J223" s="433">
        <v>38474</v>
      </c>
      <c r="K223" s="433"/>
      <c r="L223" s="433">
        <v>15692</v>
      </c>
      <c r="M223" s="433">
        <v>8241</v>
      </c>
      <c r="N223" s="98">
        <v>25753</v>
      </c>
      <c r="O223" s="60">
        <f t="shared" si="50"/>
        <v>1631706</v>
      </c>
      <c r="P223" s="60"/>
      <c r="Q223" s="60"/>
      <c r="R223" s="101"/>
    </row>
    <row r="224" spans="1:18" ht="15">
      <c r="A224" s="160" t="s">
        <v>433</v>
      </c>
      <c r="B224" s="216" t="s">
        <v>434</v>
      </c>
      <c r="C224" s="217"/>
      <c r="D224" s="217"/>
      <c r="E224" s="217"/>
      <c r="F224" s="60"/>
      <c r="G224" s="98"/>
      <c r="H224" s="98"/>
      <c r="I224" s="98"/>
      <c r="J224" s="98"/>
      <c r="K224" s="98"/>
      <c r="L224" s="98"/>
      <c r="M224" s="98"/>
      <c r="N224" s="98"/>
      <c r="O224" s="60">
        <f t="shared" si="50"/>
        <v>0</v>
      </c>
      <c r="P224" s="60"/>
      <c r="Q224" s="60"/>
      <c r="R224" s="101"/>
    </row>
    <row r="225" spans="1:18" ht="43.5">
      <c r="A225" s="160" t="s">
        <v>435</v>
      </c>
      <c r="B225" s="228" t="s">
        <v>436</v>
      </c>
      <c r="C225" s="217"/>
      <c r="D225" s="217"/>
      <c r="E225" s="217"/>
      <c r="F225" s="60"/>
      <c r="G225" s="98"/>
      <c r="H225" s="98"/>
      <c r="I225" s="98"/>
      <c r="J225" s="98"/>
      <c r="K225" s="98"/>
      <c r="L225" s="98"/>
      <c r="M225" s="433"/>
      <c r="N225" s="98"/>
      <c r="O225" s="60"/>
      <c r="P225" s="60"/>
      <c r="Q225" s="60"/>
      <c r="R225" s="101"/>
    </row>
    <row r="226" spans="1:18" ht="30">
      <c r="A226" s="30" t="s">
        <v>398</v>
      </c>
      <c r="B226" s="20" t="s">
        <v>458</v>
      </c>
      <c r="C226" s="110">
        <v>950000</v>
      </c>
      <c r="D226" s="110">
        <f>1562740-254487+2022</f>
        <v>1310275</v>
      </c>
      <c r="E226" s="110"/>
      <c r="F226" s="47">
        <v>15097</v>
      </c>
      <c r="G226" s="94">
        <f>4500+28443-21300</f>
        <v>11643</v>
      </c>
      <c r="H226" s="94">
        <v>38492</v>
      </c>
      <c r="J226" s="94">
        <v>93558</v>
      </c>
      <c r="K226" s="94">
        <v>4283</v>
      </c>
      <c r="L226" s="94">
        <v>3837</v>
      </c>
      <c r="M226" s="94">
        <v>2720</v>
      </c>
      <c r="N226" s="94">
        <v>16204</v>
      </c>
      <c r="O226" s="60">
        <f t="shared" si="50"/>
        <v>2446109</v>
      </c>
      <c r="P226" s="60"/>
      <c r="Q226" s="60"/>
      <c r="R226" s="101"/>
    </row>
    <row r="227" spans="1:18" ht="30">
      <c r="A227" s="218" t="s">
        <v>335</v>
      </c>
      <c r="B227" s="219" t="s">
        <v>336</v>
      </c>
      <c r="C227" s="60">
        <f>C46-C222-C223-C224-C225-C226</f>
        <v>9443270</v>
      </c>
      <c r="D227" s="60">
        <f aca="true" t="shared" si="52" ref="D227:N227">D46-D222-D223-D224-D226</f>
        <v>-2289634</v>
      </c>
      <c r="E227" s="60">
        <f t="shared" si="52"/>
        <v>-1067636</v>
      </c>
      <c r="F227" s="60">
        <f t="shared" si="52"/>
        <v>-123212</v>
      </c>
      <c r="G227" s="60">
        <f t="shared" si="52"/>
        <v>-1667310</v>
      </c>
      <c r="H227" s="60">
        <f t="shared" si="52"/>
        <v>-451674</v>
      </c>
      <c r="I227" s="60">
        <f t="shared" si="52"/>
        <v>-643633</v>
      </c>
      <c r="J227" s="60">
        <f t="shared" si="52"/>
        <v>-1794023</v>
      </c>
      <c r="K227" s="60">
        <f t="shared" si="52"/>
        <v>-157878</v>
      </c>
      <c r="L227" s="60">
        <f t="shared" si="52"/>
        <v>-231797</v>
      </c>
      <c r="M227" s="60">
        <f t="shared" si="52"/>
        <v>-257328</v>
      </c>
      <c r="N227" s="60">
        <f t="shared" si="52"/>
        <v>-759145</v>
      </c>
      <c r="O227" s="60">
        <f t="shared" si="50"/>
        <v>0</v>
      </c>
      <c r="P227" s="60"/>
      <c r="Q227" s="60"/>
      <c r="R227" s="101"/>
    </row>
    <row r="228" spans="2:17" ht="15">
      <c r="B228" s="487"/>
      <c r="C228" s="60"/>
      <c r="D228" s="60"/>
      <c r="E228" s="60"/>
      <c r="F228" s="60"/>
      <c r="G228" s="60"/>
      <c r="H228" s="60"/>
      <c r="I228" s="60"/>
      <c r="J228" s="60"/>
      <c r="K228" s="60"/>
      <c r="L228" s="60"/>
      <c r="M228" s="60"/>
      <c r="N228" s="60"/>
      <c r="O228" s="324"/>
      <c r="P228" s="324"/>
      <c r="Q228" s="324"/>
    </row>
    <row r="229" spans="2:17" ht="15">
      <c r="B229" s="164" t="s">
        <v>394</v>
      </c>
      <c r="D229" s="96" t="s">
        <v>38</v>
      </c>
      <c r="O229" s="217">
        <f>O227-O31</f>
        <v>0</v>
      </c>
      <c r="P229" s="217"/>
      <c r="Q229" s="217"/>
    </row>
    <row r="230" spans="1:17" ht="15">
      <c r="A230" s="101"/>
      <c r="B230" s="167"/>
      <c r="C230" s="60"/>
      <c r="D230" s="60"/>
      <c r="E230" s="60"/>
      <c r="F230" s="60"/>
      <c r="G230" s="434"/>
      <c r="H230" s="47"/>
      <c r="I230" s="435"/>
      <c r="J230" s="47"/>
      <c r="K230" s="47"/>
      <c r="L230" s="47"/>
      <c r="M230" s="435"/>
      <c r="N230" s="47"/>
      <c r="O230" s="47"/>
      <c r="P230" s="47"/>
      <c r="Q230" s="47"/>
    </row>
    <row r="231" ht="15">
      <c r="B231" s="164"/>
    </row>
    <row r="232" spans="1:6" ht="44.25" customHeight="1" thickBot="1">
      <c r="A232" s="492" t="s">
        <v>524</v>
      </c>
      <c r="B232" s="492"/>
      <c r="C232" s="492"/>
      <c r="D232" s="492"/>
      <c r="E232" s="110"/>
      <c r="F232" s="110"/>
    </row>
    <row r="233" spans="1:17" ht="105.75" thickBot="1">
      <c r="A233" s="102" t="s">
        <v>24</v>
      </c>
      <c r="B233" s="103" t="s">
        <v>170</v>
      </c>
      <c r="C233" s="229" t="s">
        <v>483</v>
      </c>
      <c r="D233" s="230" t="s">
        <v>484</v>
      </c>
      <c r="E233" s="104" t="s">
        <v>485</v>
      </c>
      <c r="F233" s="104" t="s">
        <v>486</v>
      </c>
      <c r="G233" s="105" t="s">
        <v>487</v>
      </c>
      <c r="H233" s="105" t="s">
        <v>488</v>
      </c>
      <c r="I233" s="105" t="s">
        <v>489</v>
      </c>
      <c r="J233" s="105" t="s">
        <v>490</v>
      </c>
      <c r="K233" s="105" t="s">
        <v>491</v>
      </c>
      <c r="L233" s="105" t="s">
        <v>492</v>
      </c>
      <c r="M233" s="105" t="s">
        <v>493</v>
      </c>
      <c r="N233" s="231" t="s">
        <v>494</v>
      </c>
      <c r="O233" s="106" t="s">
        <v>495</v>
      </c>
      <c r="P233" s="452"/>
      <c r="Q233" s="452"/>
    </row>
    <row r="234" spans="1:17" ht="15">
      <c r="A234" s="220">
        <v>1100</v>
      </c>
      <c r="B234" s="140" t="s">
        <v>229</v>
      </c>
      <c r="C234" s="325">
        <f>10193738+13017-2537</f>
        <v>10204218</v>
      </c>
      <c r="D234" s="325">
        <v>3023279</v>
      </c>
      <c r="E234" s="325">
        <v>628688</v>
      </c>
      <c r="F234" s="325">
        <v>69136</v>
      </c>
      <c r="G234" s="378">
        <v>930710</v>
      </c>
      <c r="H234" s="326">
        <v>279794</v>
      </c>
      <c r="I234" s="325">
        <v>365637</v>
      </c>
      <c r="J234" s="325">
        <v>1301749</v>
      </c>
      <c r="K234" s="325">
        <v>83503</v>
      </c>
      <c r="L234" s="325">
        <v>123821</v>
      </c>
      <c r="M234" s="325">
        <f>141336+587</f>
        <v>141923</v>
      </c>
      <c r="N234" s="325">
        <v>450645</v>
      </c>
      <c r="O234" s="436">
        <f aca="true" t="shared" si="53" ref="O234:O254">SUM(C234:N234)</f>
        <v>17603103</v>
      </c>
      <c r="P234" s="453"/>
      <c r="Q234" s="453"/>
    </row>
    <row r="235" spans="1:17" ht="45">
      <c r="A235" s="144">
        <v>1200</v>
      </c>
      <c r="B235" s="115" t="s">
        <v>337</v>
      </c>
      <c r="C235" s="38">
        <f>3064233+2956+2537</f>
        <v>3069726</v>
      </c>
      <c r="D235" s="38">
        <v>713193</v>
      </c>
      <c r="E235" s="38">
        <v>175490</v>
      </c>
      <c r="F235" s="38">
        <v>20570</v>
      </c>
      <c r="G235" s="379">
        <v>273233</v>
      </c>
      <c r="H235" s="41">
        <v>78704</v>
      </c>
      <c r="I235" s="38">
        <v>113416</v>
      </c>
      <c r="J235" s="38">
        <v>390493</v>
      </c>
      <c r="K235" s="38">
        <v>27303</v>
      </c>
      <c r="L235" s="38">
        <v>36760</v>
      </c>
      <c r="M235" s="38">
        <f>39771+139</f>
        <v>39910</v>
      </c>
      <c r="N235" s="38">
        <v>154297</v>
      </c>
      <c r="O235" s="437">
        <f>SUM(C235:N235)</f>
        <v>5093095</v>
      </c>
      <c r="P235" s="453"/>
      <c r="Q235" s="453"/>
    </row>
    <row r="236" spans="1:17" ht="15">
      <c r="A236" s="144">
        <v>2000</v>
      </c>
      <c r="B236" s="115" t="s">
        <v>207</v>
      </c>
      <c r="C236" s="38">
        <f>SUM(C237:C242)</f>
        <v>5034491</v>
      </c>
      <c r="D236" s="38">
        <f>SUM(D237:D242)</f>
        <v>8181936</v>
      </c>
      <c r="E236" s="38">
        <f>SUM(E237:E242)</f>
        <v>426021</v>
      </c>
      <c r="F236" s="38">
        <f aca="true" t="shared" si="54" ref="F236:N236">SUM(F237:F242)</f>
        <v>268024</v>
      </c>
      <c r="G236" s="38">
        <f t="shared" si="54"/>
        <v>560075</v>
      </c>
      <c r="H236" s="38">
        <f t="shared" si="54"/>
        <v>294197</v>
      </c>
      <c r="I236" s="38">
        <f t="shared" si="54"/>
        <v>298075</v>
      </c>
      <c r="J236" s="38">
        <f t="shared" si="54"/>
        <v>835859</v>
      </c>
      <c r="K236" s="38">
        <f t="shared" si="54"/>
        <v>101495</v>
      </c>
      <c r="L236" s="38">
        <f t="shared" si="54"/>
        <v>55589</v>
      </c>
      <c r="M236" s="38">
        <f>SUM(M237:M242)</f>
        <v>93286</v>
      </c>
      <c r="N236" s="38">
        <f t="shared" si="54"/>
        <v>193646</v>
      </c>
      <c r="O236" s="437">
        <f>SUM(C236:N236)</f>
        <v>16342694</v>
      </c>
      <c r="P236" s="453"/>
      <c r="Q236" s="453"/>
    </row>
    <row r="237" spans="1:17" ht="30">
      <c r="A237" s="144">
        <v>2100</v>
      </c>
      <c r="B237" s="115" t="s">
        <v>437</v>
      </c>
      <c r="C237" s="38">
        <f>66306-2948</f>
        <v>63358</v>
      </c>
      <c r="D237" s="38">
        <v>3000</v>
      </c>
      <c r="E237" s="38"/>
      <c r="F237" s="38"/>
      <c r="G237" s="379">
        <v>992</v>
      </c>
      <c r="H237" s="38">
        <v>315</v>
      </c>
      <c r="I237" s="38">
        <v>308</v>
      </c>
      <c r="J237" s="38">
        <v>859</v>
      </c>
      <c r="K237" s="38">
        <v>10</v>
      </c>
      <c r="L237" s="38">
        <v>75</v>
      </c>
      <c r="M237" s="243">
        <v>2150</v>
      </c>
      <c r="N237" s="38">
        <v>700</v>
      </c>
      <c r="O237" s="437">
        <f t="shared" si="53"/>
        <v>71767</v>
      </c>
      <c r="P237" s="453"/>
      <c r="Q237" s="453"/>
    </row>
    <row r="238" spans="1:17" ht="15">
      <c r="A238" s="144">
        <v>2200</v>
      </c>
      <c r="B238" s="115" t="s">
        <v>209</v>
      </c>
      <c r="C238" s="38">
        <f>3534569+241134+24133-15000-122+1750-17279-1335</f>
        <v>3767850</v>
      </c>
      <c r="D238" s="38">
        <v>6690971</v>
      </c>
      <c r="E238" s="38">
        <v>285376</v>
      </c>
      <c r="F238" s="38">
        <f>226450+24133</f>
        <v>250583</v>
      </c>
      <c r="G238" s="379">
        <f>305070+23000</f>
        <v>328070</v>
      </c>
      <c r="H238" s="38">
        <v>147561</v>
      </c>
      <c r="I238" s="38">
        <v>178678</v>
      </c>
      <c r="J238" s="243">
        <v>540829</v>
      </c>
      <c r="K238" s="38">
        <v>75334</v>
      </c>
      <c r="L238" s="38">
        <v>36003</v>
      </c>
      <c r="M238" s="243">
        <f>64686-16000</f>
        <v>48686</v>
      </c>
      <c r="N238" s="38">
        <v>83766</v>
      </c>
      <c r="O238" s="437">
        <f t="shared" si="53"/>
        <v>12433707</v>
      </c>
      <c r="P238" s="453"/>
      <c r="Q238" s="453"/>
    </row>
    <row r="239" spans="1:17" ht="30">
      <c r="A239" s="144">
        <v>2300</v>
      </c>
      <c r="B239" s="115" t="s">
        <v>210</v>
      </c>
      <c r="C239" s="38">
        <f>1021890+53129+17279+1335</f>
        <v>1093633</v>
      </c>
      <c r="D239" s="38">
        <v>1109120</v>
      </c>
      <c r="E239" s="38">
        <v>136645</v>
      </c>
      <c r="F239" s="38">
        <v>13417</v>
      </c>
      <c r="G239" s="379">
        <f>217750+10000</f>
        <v>227750</v>
      </c>
      <c r="H239" s="38">
        <v>135261</v>
      </c>
      <c r="I239" s="38">
        <v>114579</v>
      </c>
      <c r="J239" s="243">
        <v>287984</v>
      </c>
      <c r="K239" s="38">
        <v>23781</v>
      </c>
      <c r="L239" s="38">
        <v>18031</v>
      </c>
      <c r="M239" s="243">
        <v>41130</v>
      </c>
      <c r="N239" s="38">
        <v>102435</v>
      </c>
      <c r="O239" s="437">
        <f>SUM(C239:N239)</f>
        <v>3303766</v>
      </c>
      <c r="P239" s="453"/>
      <c r="Q239" s="453"/>
    </row>
    <row r="240" spans="1:17" ht="15">
      <c r="A240" s="144">
        <v>2400</v>
      </c>
      <c r="B240" s="115" t="s">
        <v>211</v>
      </c>
      <c r="C240" s="38">
        <v>5450</v>
      </c>
      <c r="D240" s="38"/>
      <c r="E240" s="38"/>
      <c r="F240" s="38"/>
      <c r="G240" s="379">
        <v>1950</v>
      </c>
      <c r="H240" s="38">
        <v>810</v>
      </c>
      <c r="I240" s="38">
        <v>600</v>
      </c>
      <c r="J240" s="38">
        <v>1400</v>
      </c>
      <c r="K240" s="38">
        <v>620</v>
      </c>
      <c r="L240" s="38">
        <v>510</v>
      </c>
      <c r="M240" s="38">
        <v>820</v>
      </c>
      <c r="N240" s="38">
        <v>2865</v>
      </c>
      <c r="O240" s="437">
        <f t="shared" si="53"/>
        <v>15025</v>
      </c>
      <c r="P240" s="453"/>
      <c r="Q240" s="453"/>
    </row>
    <row r="241" spans="1:17" ht="15">
      <c r="A241" s="144">
        <v>2500</v>
      </c>
      <c r="B241" s="115" t="s">
        <v>212</v>
      </c>
      <c r="C241" s="38">
        <v>31800</v>
      </c>
      <c r="D241" s="38">
        <v>378845</v>
      </c>
      <c r="E241" s="38">
        <v>4000</v>
      </c>
      <c r="F241" s="38">
        <v>4024</v>
      </c>
      <c r="G241" s="379">
        <v>1313</v>
      </c>
      <c r="H241" s="38">
        <v>10250</v>
      </c>
      <c r="I241" s="38">
        <v>3910</v>
      </c>
      <c r="J241" s="38">
        <v>4787</v>
      </c>
      <c r="K241" s="38">
        <v>1750</v>
      </c>
      <c r="L241" s="38">
        <v>970</v>
      </c>
      <c r="M241" s="38">
        <v>500</v>
      </c>
      <c r="N241" s="38">
        <v>3880</v>
      </c>
      <c r="O241" s="437">
        <f t="shared" si="53"/>
        <v>446029</v>
      </c>
      <c r="P241" s="453"/>
      <c r="Q241" s="453"/>
    </row>
    <row r="242" spans="1:17" ht="45">
      <c r="A242" s="144">
        <v>2800</v>
      </c>
      <c r="B242" s="115" t="s">
        <v>338</v>
      </c>
      <c r="C242" s="38">
        <v>72400</v>
      </c>
      <c r="D242" s="38"/>
      <c r="E242" s="38"/>
      <c r="F242" s="38"/>
      <c r="G242" s="379"/>
      <c r="H242" s="38"/>
      <c r="I242" s="38"/>
      <c r="J242" s="38"/>
      <c r="K242" s="38"/>
      <c r="L242" s="38"/>
      <c r="M242" s="38"/>
      <c r="N242" s="38"/>
      <c r="O242" s="437">
        <f t="shared" si="53"/>
        <v>72400</v>
      </c>
      <c r="P242" s="453"/>
      <c r="Q242" s="453"/>
    </row>
    <row r="243" spans="1:17" ht="30">
      <c r="A243" s="144">
        <v>3200</v>
      </c>
      <c r="B243" s="115" t="s">
        <v>339</v>
      </c>
      <c r="C243" s="38">
        <f>190338+33253-1750</f>
        <v>221841</v>
      </c>
      <c r="D243" s="38"/>
      <c r="E243" s="38"/>
      <c r="F243" s="38"/>
      <c r="G243" s="379"/>
      <c r="H243" s="38"/>
      <c r="I243" s="38"/>
      <c r="J243" s="38"/>
      <c r="K243" s="38"/>
      <c r="L243" s="38"/>
      <c r="M243" s="38">
        <v>6000</v>
      </c>
      <c r="N243" s="38"/>
      <c r="O243" s="437">
        <f t="shared" si="53"/>
        <v>227841</v>
      </c>
      <c r="P243" s="453"/>
      <c r="Q243" s="453"/>
    </row>
    <row r="244" spans="1:17" ht="15">
      <c r="A244" s="144">
        <v>4200</v>
      </c>
      <c r="B244" s="115" t="s">
        <v>525</v>
      </c>
      <c r="C244" s="38"/>
      <c r="D244" s="38"/>
      <c r="E244" s="38"/>
      <c r="F244" s="38"/>
      <c r="G244" s="379"/>
      <c r="H244" s="38"/>
      <c r="I244" s="38"/>
      <c r="J244" s="38"/>
      <c r="K244" s="38"/>
      <c r="L244" s="38"/>
      <c r="M244" s="38"/>
      <c r="N244" s="38"/>
      <c r="O244" s="437">
        <f t="shared" si="53"/>
        <v>0</v>
      </c>
      <c r="P244" s="453"/>
      <c r="Q244" s="453"/>
    </row>
    <row r="245" spans="1:17" ht="15">
      <c r="A245" s="144">
        <v>4300</v>
      </c>
      <c r="B245" s="115" t="s">
        <v>213</v>
      </c>
      <c r="C245" s="38">
        <v>32495</v>
      </c>
      <c r="D245" s="38"/>
      <c r="E245" s="38"/>
      <c r="F245" s="38">
        <v>188</v>
      </c>
      <c r="G245" s="379">
        <v>779</v>
      </c>
      <c r="H245" s="38">
        <v>125</v>
      </c>
      <c r="I245" s="38">
        <v>700</v>
      </c>
      <c r="J245" s="38">
        <v>271</v>
      </c>
      <c r="K245" s="38"/>
      <c r="L245" s="38">
        <v>200</v>
      </c>
      <c r="M245" s="38">
        <v>170</v>
      </c>
      <c r="N245" s="38">
        <v>280</v>
      </c>
      <c r="O245" s="437">
        <f t="shared" si="53"/>
        <v>35208</v>
      </c>
      <c r="P245" s="453"/>
      <c r="Q245" s="453"/>
    </row>
    <row r="246" spans="1:17" ht="15">
      <c r="A246" s="144">
        <v>5100</v>
      </c>
      <c r="B246" s="115" t="s">
        <v>160</v>
      </c>
      <c r="C246" s="38">
        <v>24363</v>
      </c>
      <c r="D246" s="38"/>
      <c r="E246" s="38"/>
      <c r="F246" s="38"/>
      <c r="G246" s="379"/>
      <c r="H246" s="38">
        <v>220</v>
      </c>
      <c r="I246" s="38"/>
      <c r="J246" s="38">
        <v>2200</v>
      </c>
      <c r="K246" s="38"/>
      <c r="L246" s="38"/>
      <c r="M246" s="38"/>
      <c r="N246" s="38"/>
      <c r="O246" s="437">
        <f t="shared" si="53"/>
        <v>26783</v>
      </c>
      <c r="P246" s="453"/>
      <c r="Q246" s="453"/>
    </row>
    <row r="247" spans="1:17" ht="15">
      <c r="A247" s="144">
        <v>5200</v>
      </c>
      <c r="B247" s="115" t="s">
        <v>214</v>
      </c>
      <c r="C247" s="38">
        <f>22953752+13841</f>
        <v>22967593</v>
      </c>
      <c r="D247" s="38">
        <v>682155</v>
      </c>
      <c r="E247" s="38">
        <v>87961</v>
      </c>
      <c r="F247" s="38">
        <v>7032</v>
      </c>
      <c r="G247" s="379">
        <v>178433</v>
      </c>
      <c r="H247" s="38">
        <v>21470</v>
      </c>
      <c r="I247" s="38">
        <v>81412</v>
      </c>
      <c r="J247" s="38">
        <v>116761</v>
      </c>
      <c r="K247" s="38">
        <v>5265</v>
      </c>
      <c r="L247" s="38">
        <v>39802</v>
      </c>
      <c r="M247" s="38">
        <v>5000</v>
      </c>
      <c r="N247" s="38">
        <v>9840</v>
      </c>
      <c r="O247" s="437">
        <f t="shared" si="53"/>
        <v>24202724</v>
      </c>
      <c r="P247" s="453"/>
      <c r="Q247" s="453"/>
    </row>
    <row r="248" spans="1:17" ht="15">
      <c r="A248" s="144">
        <v>6200</v>
      </c>
      <c r="B248" s="115" t="s">
        <v>215</v>
      </c>
      <c r="C248" s="38">
        <f>315676-4320</f>
        <v>311356</v>
      </c>
      <c r="D248" s="38" t="s">
        <v>648</v>
      </c>
      <c r="E248" s="38"/>
      <c r="F248" s="38"/>
      <c r="G248" s="379">
        <v>30651</v>
      </c>
      <c r="H248" s="38">
        <f>1800+19450</f>
        <v>21250</v>
      </c>
      <c r="I248" s="38">
        <f>1800+29352</f>
        <v>31152</v>
      </c>
      <c r="J248" s="38">
        <v>19918</v>
      </c>
      <c r="K248" s="38">
        <f>1800+17494</f>
        <v>19294</v>
      </c>
      <c r="L248" s="38">
        <f>1800+15750</f>
        <v>17550</v>
      </c>
      <c r="M248" s="38">
        <f>1800+18400-900</f>
        <v>19300</v>
      </c>
      <c r="N248" s="38">
        <f>1800+24720</f>
        <v>26520</v>
      </c>
      <c r="O248" s="437">
        <f t="shared" si="53"/>
        <v>496991</v>
      </c>
      <c r="P248" s="453"/>
      <c r="Q248" s="453"/>
    </row>
    <row r="249" spans="1:17" ht="15">
      <c r="A249" s="144">
        <v>6300</v>
      </c>
      <c r="B249" s="115" t="s">
        <v>216</v>
      </c>
      <c r="C249" s="38">
        <f>436000-114000</f>
        <v>322000</v>
      </c>
      <c r="D249" s="38"/>
      <c r="E249" s="38"/>
      <c r="F249" s="38"/>
      <c r="G249" s="379">
        <v>4100</v>
      </c>
      <c r="H249" s="38">
        <f>3850-750</f>
        <v>3100</v>
      </c>
      <c r="I249" s="38">
        <v>5599</v>
      </c>
      <c r="J249" s="38">
        <v>10120</v>
      </c>
      <c r="K249" s="38">
        <f>1478-1200</f>
        <v>278</v>
      </c>
      <c r="L249" s="38"/>
      <c r="M249" s="38"/>
      <c r="N249" s="38">
        <f>2522-1022</f>
        <v>1500</v>
      </c>
      <c r="O249" s="437">
        <f t="shared" si="53"/>
        <v>346697</v>
      </c>
      <c r="P249" s="453"/>
      <c r="Q249" s="453"/>
    </row>
    <row r="250" spans="1:17" ht="30">
      <c r="A250" s="144">
        <v>6400</v>
      </c>
      <c r="B250" s="115" t="s">
        <v>340</v>
      </c>
      <c r="C250" s="38">
        <f>299278+118320</f>
        <v>417598</v>
      </c>
      <c r="D250" s="38"/>
      <c r="E250" s="38"/>
      <c r="F250" s="38"/>
      <c r="G250" s="379">
        <v>29907</v>
      </c>
      <c r="H250" s="38">
        <f>10054+750</f>
        <v>10804</v>
      </c>
      <c r="I250" s="38">
        <v>14054</v>
      </c>
      <c r="J250" s="38">
        <v>21256</v>
      </c>
      <c r="K250" s="38">
        <f>1350+1200</f>
        <v>2550</v>
      </c>
      <c r="L250" s="38"/>
      <c r="M250" s="38">
        <v>900</v>
      </c>
      <c r="N250" s="38">
        <f>500+1022</f>
        <v>1522</v>
      </c>
      <c r="O250" s="437">
        <f t="shared" si="53"/>
        <v>498591</v>
      </c>
      <c r="P250" s="453"/>
      <c r="Q250" s="453"/>
    </row>
    <row r="251" spans="1:17" ht="30">
      <c r="A251" s="144">
        <v>6500</v>
      </c>
      <c r="B251" s="115" t="s">
        <v>438</v>
      </c>
      <c r="C251" s="38">
        <v>122</v>
      </c>
      <c r="D251" s="38"/>
      <c r="E251" s="38"/>
      <c r="F251" s="38"/>
      <c r="G251" s="379"/>
      <c r="H251" s="38"/>
      <c r="I251" s="38"/>
      <c r="J251" s="38"/>
      <c r="K251" s="38"/>
      <c r="L251" s="38"/>
      <c r="M251" s="38"/>
      <c r="N251" s="38"/>
      <c r="O251" s="437">
        <f t="shared" si="53"/>
        <v>122</v>
      </c>
      <c r="P251" s="453"/>
      <c r="Q251" s="453"/>
    </row>
    <row r="252" spans="1:17" ht="15">
      <c r="A252" s="144">
        <v>7200</v>
      </c>
      <c r="B252" s="115" t="s">
        <v>341</v>
      </c>
      <c r="C252" s="38">
        <v>690000</v>
      </c>
      <c r="D252" s="38"/>
      <c r="E252" s="38"/>
      <c r="F252" s="38"/>
      <c r="G252" s="379">
        <v>1500</v>
      </c>
      <c r="H252" s="38">
        <v>4920</v>
      </c>
      <c r="I252" s="38">
        <v>4212</v>
      </c>
      <c r="J252" s="38">
        <v>16312</v>
      </c>
      <c r="K252" s="38"/>
      <c r="L252" s="38">
        <v>3821</v>
      </c>
      <c r="M252" s="38">
        <v>2600</v>
      </c>
      <c r="N252" s="38">
        <v>15000</v>
      </c>
      <c r="O252" s="437">
        <f>SUM(C252:N252)</f>
        <v>738365</v>
      </c>
      <c r="P252" s="453"/>
      <c r="Q252" s="453"/>
    </row>
    <row r="253" spans="1:17" ht="15">
      <c r="A253" s="144">
        <v>8100</v>
      </c>
      <c r="B253" s="133" t="s">
        <v>526</v>
      </c>
      <c r="C253" s="38"/>
      <c r="D253" s="38"/>
      <c r="E253" s="38"/>
      <c r="F253" s="38"/>
      <c r="G253" s="379"/>
      <c r="H253" s="38"/>
      <c r="I253" s="38"/>
      <c r="J253" s="38"/>
      <c r="K253" s="38"/>
      <c r="L253" s="38"/>
      <c r="M253" s="38"/>
      <c r="N253" s="117"/>
      <c r="O253" s="437">
        <f t="shared" si="53"/>
        <v>0</v>
      </c>
      <c r="P253" s="453"/>
      <c r="Q253" s="453"/>
    </row>
    <row r="254" spans="1:17" ht="15.75" thickBot="1">
      <c r="A254" s="137">
        <v>9000</v>
      </c>
      <c r="B254" s="247" t="s">
        <v>527</v>
      </c>
      <c r="C254" s="141"/>
      <c r="D254" s="141"/>
      <c r="E254" s="141"/>
      <c r="F254" s="141"/>
      <c r="G254" s="380"/>
      <c r="H254" s="141"/>
      <c r="I254" s="141"/>
      <c r="J254" s="141"/>
      <c r="K254" s="141"/>
      <c r="L254" s="141"/>
      <c r="M254" s="141"/>
      <c r="N254" s="236"/>
      <c r="O254" s="437">
        <f t="shared" si="53"/>
        <v>0</v>
      </c>
      <c r="P254" s="453"/>
      <c r="Q254" s="453"/>
    </row>
    <row r="255" spans="1:17" ht="15.75" thickBot="1">
      <c r="A255" s="214"/>
      <c r="B255" s="222" t="s">
        <v>217</v>
      </c>
      <c r="C255" s="248">
        <f>SUM(C234:C236,C243:C254)</f>
        <v>43295803</v>
      </c>
      <c r="D255" s="248">
        <f aca="true" t="shared" si="55" ref="D255:N255">SUM(D234:D236,D243:D254)</f>
        <v>12600563</v>
      </c>
      <c r="E255" s="248">
        <f t="shared" si="55"/>
        <v>1318160</v>
      </c>
      <c r="F255" s="248">
        <f t="shared" si="55"/>
        <v>364950</v>
      </c>
      <c r="G255" s="248">
        <f t="shared" si="55"/>
        <v>2009388</v>
      </c>
      <c r="H255" s="248">
        <f t="shared" si="55"/>
        <v>714584</v>
      </c>
      <c r="I255" s="248">
        <f t="shared" si="55"/>
        <v>914257</v>
      </c>
      <c r="J255" s="248">
        <f t="shared" si="55"/>
        <v>2714939</v>
      </c>
      <c r="K255" s="248">
        <f t="shared" si="55"/>
        <v>239688</v>
      </c>
      <c r="L255" s="248">
        <f t="shared" si="55"/>
        <v>277543</v>
      </c>
      <c r="M255" s="248">
        <f t="shared" si="55"/>
        <v>309089</v>
      </c>
      <c r="N255" s="248">
        <f t="shared" si="55"/>
        <v>853250</v>
      </c>
      <c r="O255" s="438">
        <f>SUM(C255:N255)</f>
        <v>65612214</v>
      </c>
      <c r="P255" s="453"/>
      <c r="Q255" s="453"/>
    </row>
    <row r="256" spans="2:6" ht="15">
      <c r="B256" s="223"/>
      <c r="C256" s="47"/>
      <c r="D256" s="47"/>
      <c r="E256" s="110"/>
      <c r="F256" s="110"/>
    </row>
    <row r="257" spans="2:17" ht="15">
      <c r="B257" s="223"/>
      <c r="C257" s="47"/>
      <c r="D257" s="47"/>
      <c r="E257" s="110"/>
      <c r="F257" s="110"/>
      <c r="O257" s="217"/>
      <c r="P257" s="217"/>
      <c r="Q257" s="217"/>
    </row>
    <row r="258" spans="2:6" ht="15">
      <c r="B258" s="164" t="s">
        <v>394</v>
      </c>
      <c r="C258" s="47"/>
      <c r="D258" s="47"/>
      <c r="E258" s="110" t="s">
        <v>38</v>
      </c>
      <c r="F258" s="110"/>
    </row>
    <row r="263" ht="15">
      <c r="B263" s="164"/>
    </row>
  </sheetData>
  <sheetProtection/>
  <mergeCells count="9">
    <mergeCell ref="A4:D4"/>
    <mergeCell ref="A232:D232"/>
    <mergeCell ref="L1:O1"/>
    <mergeCell ref="L2:O2"/>
    <mergeCell ref="L3:O3"/>
    <mergeCell ref="L51:O51"/>
    <mergeCell ref="L52:O52"/>
    <mergeCell ref="L53:O53"/>
    <mergeCell ref="A54:H54"/>
  </mergeCells>
  <printOptions/>
  <pageMargins left="0.55" right="0.17" top="0.7874015748031497" bottom="0.5905511811023623" header="0.5118110236220472" footer="0.5118110236220472"/>
  <pageSetup horizontalDpi="600" verticalDpi="600" orientation="landscape" paperSize="9" scale="65" r:id="rId1"/>
  <rowBreaks count="2" manualBreakCount="2">
    <brk id="50" max="255" man="1"/>
    <brk id="230" max="255" man="1"/>
  </rowBreaks>
</worksheet>
</file>

<file path=xl/worksheets/sheet2.xml><?xml version="1.0" encoding="utf-8"?>
<worksheet xmlns="http://schemas.openxmlformats.org/spreadsheetml/2006/main" xmlns:r="http://schemas.openxmlformats.org/officeDocument/2006/relationships">
  <dimension ref="A1:I67"/>
  <sheetViews>
    <sheetView zoomScalePageLayoutView="0" workbookViewId="0" topLeftCell="A1">
      <selection activeCell="K10" sqref="K10"/>
    </sheetView>
  </sheetViews>
  <sheetFormatPr defaultColWidth="9.140625" defaultRowHeight="12.75"/>
  <cols>
    <col min="1" max="1" width="41.57421875" style="75" customWidth="1"/>
    <col min="2" max="2" width="9.140625" style="75" customWidth="1"/>
    <col min="3" max="3" width="11.00390625" style="75" bestFit="1" customWidth="1"/>
    <col min="4" max="4" width="13.28125" style="75" customWidth="1"/>
    <col min="5" max="5" width="10.28125" style="75" customWidth="1"/>
    <col min="6" max="6" width="12.8515625" style="75" customWidth="1"/>
    <col min="7" max="7" width="10.57421875" style="75" customWidth="1"/>
    <col min="8" max="16384" width="9.140625" style="75" customWidth="1"/>
  </cols>
  <sheetData>
    <row r="1" ht="12.75">
      <c r="D1" s="75" t="s">
        <v>39</v>
      </c>
    </row>
    <row r="2" spans="1:6" ht="18.75">
      <c r="A2" s="497" t="s">
        <v>533</v>
      </c>
      <c r="B2" s="497"/>
      <c r="C2" s="497"/>
      <c r="D2" s="497"/>
      <c r="E2" s="497"/>
      <c r="F2" s="497"/>
    </row>
    <row r="3" spans="1:7" ht="90">
      <c r="A3" s="85" t="s">
        <v>23</v>
      </c>
      <c r="B3" s="86" t="s">
        <v>24</v>
      </c>
      <c r="C3" s="27" t="s">
        <v>529</v>
      </c>
      <c r="D3" s="87" t="s">
        <v>530</v>
      </c>
      <c r="E3" s="87" t="s">
        <v>531</v>
      </c>
      <c r="F3" s="87" t="s">
        <v>532</v>
      </c>
      <c r="G3" s="88"/>
    </row>
    <row r="4" spans="1:7" ht="30">
      <c r="A4" s="20" t="s">
        <v>173</v>
      </c>
      <c r="B4" s="21" t="s">
        <v>43</v>
      </c>
      <c r="C4" s="24"/>
      <c r="D4" s="13"/>
      <c r="E4" s="13"/>
      <c r="F4" s="13"/>
      <c r="G4" s="14"/>
    </row>
    <row r="5" spans="1:7" ht="15">
      <c r="A5" s="20" t="s">
        <v>46</v>
      </c>
      <c r="B5" s="21" t="s">
        <v>28</v>
      </c>
      <c r="C5" s="24"/>
      <c r="D5" s="13"/>
      <c r="E5" s="13"/>
      <c r="F5" s="13"/>
      <c r="G5" s="14"/>
    </row>
    <row r="6" spans="1:7" ht="15">
      <c r="A6" s="20" t="s">
        <v>47</v>
      </c>
      <c r="B6" s="21" t="s">
        <v>29</v>
      </c>
      <c r="C6" s="24"/>
      <c r="D6" s="13"/>
      <c r="E6" s="13"/>
      <c r="F6" s="13"/>
      <c r="G6" s="14"/>
    </row>
    <row r="7" spans="1:7" ht="30">
      <c r="A7" s="20" t="s">
        <v>177</v>
      </c>
      <c r="B7" s="227" t="s">
        <v>176</v>
      </c>
      <c r="C7" s="24"/>
      <c r="D7" s="13"/>
      <c r="E7" s="13"/>
      <c r="F7" s="13"/>
      <c r="G7" s="14"/>
    </row>
    <row r="8" spans="1:7" ht="30">
      <c r="A8" s="20" t="s">
        <v>51</v>
      </c>
      <c r="B8" s="227" t="s">
        <v>50</v>
      </c>
      <c r="C8" s="24"/>
      <c r="D8" s="13">
        <v>2400</v>
      </c>
      <c r="E8" s="13"/>
      <c r="F8" s="13"/>
      <c r="G8" s="14"/>
    </row>
    <row r="9" spans="1:7" ht="15">
      <c r="A9" s="20" t="s">
        <v>179</v>
      </c>
      <c r="B9" s="227" t="s">
        <v>178</v>
      </c>
      <c r="C9" s="24"/>
      <c r="D9" s="13"/>
      <c r="E9" s="13"/>
      <c r="F9" s="13"/>
      <c r="G9" s="14"/>
    </row>
    <row r="10" spans="1:7" ht="15">
      <c r="A10" s="20" t="s">
        <v>52</v>
      </c>
      <c r="B10" s="227" t="s">
        <v>180</v>
      </c>
      <c r="C10" s="24"/>
      <c r="D10" s="13"/>
      <c r="E10" s="13"/>
      <c r="F10" s="13"/>
      <c r="G10" s="14"/>
    </row>
    <row r="11" spans="1:7" ht="30" customHeight="1">
      <c r="A11" s="20" t="s">
        <v>248</v>
      </c>
      <c r="B11" s="21" t="s">
        <v>247</v>
      </c>
      <c r="C11" s="82">
        <f>D38+D47+D58+D51</f>
        <v>-366511</v>
      </c>
      <c r="D11" s="13"/>
      <c r="E11" s="13"/>
      <c r="F11" s="13"/>
      <c r="G11" s="14"/>
    </row>
    <row r="12" spans="1:7" ht="30">
      <c r="A12" s="22" t="s">
        <v>254</v>
      </c>
      <c r="B12" s="62" t="s">
        <v>181</v>
      </c>
      <c r="C12" s="63"/>
      <c r="D12" s="13"/>
      <c r="E12" s="13"/>
      <c r="F12" s="13"/>
      <c r="G12" s="14"/>
    </row>
    <row r="13" spans="1:7" ht="30">
      <c r="A13" s="22" t="s">
        <v>255</v>
      </c>
      <c r="B13" s="62" t="s">
        <v>57</v>
      </c>
      <c r="C13" s="63">
        <f>D64</f>
        <v>7252</v>
      </c>
      <c r="D13" s="13"/>
      <c r="E13" s="13"/>
      <c r="F13" s="13"/>
      <c r="G13" s="14"/>
    </row>
    <row r="14" spans="1:7" ht="30">
      <c r="A14" s="20" t="s">
        <v>370</v>
      </c>
      <c r="B14" s="62" t="s">
        <v>222</v>
      </c>
      <c r="C14" s="63"/>
      <c r="D14" s="13"/>
      <c r="E14" s="13"/>
      <c r="F14" s="13"/>
      <c r="G14" s="14"/>
    </row>
    <row r="15" spans="1:7" ht="30">
      <c r="A15" s="20" t="s">
        <v>256</v>
      </c>
      <c r="B15" s="16" t="s">
        <v>380</v>
      </c>
      <c r="C15" s="25"/>
      <c r="D15" s="15">
        <f>7620+406627</f>
        <v>414247</v>
      </c>
      <c r="E15" s="15"/>
      <c r="F15" s="14"/>
      <c r="G15" s="14"/>
    </row>
    <row r="16" spans="1:7" ht="30">
      <c r="A16" s="20" t="s">
        <v>401</v>
      </c>
      <c r="B16" s="16" t="s">
        <v>402</v>
      </c>
      <c r="C16" s="25"/>
      <c r="D16" s="15">
        <v>101282</v>
      </c>
      <c r="E16" s="15"/>
      <c r="F16" s="14"/>
      <c r="G16" s="14"/>
    </row>
    <row r="17" spans="1:9" ht="14.25">
      <c r="A17" s="17" t="s">
        <v>25</v>
      </c>
      <c r="B17" s="18"/>
      <c r="C17" s="19">
        <f>SUM(C4:C16)</f>
        <v>-359259</v>
      </c>
      <c r="D17" s="19">
        <f>SUM(D4:D16)</f>
        <v>517929</v>
      </c>
      <c r="E17" s="19">
        <f>SUM(E4:E16)</f>
        <v>0</v>
      </c>
      <c r="F17" s="19">
        <f>SUM(F4:F16)</f>
        <v>0</v>
      </c>
      <c r="G17" s="19">
        <f>SUM(C17:F17)</f>
        <v>158670</v>
      </c>
      <c r="I17" s="70"/>
    </row>
    <row r="18" spans="1:7" ht="14.25">
      <c r="A18" s="17" t="s">
        <v>528</v>
      </c>
      <c r="B18" s="18"/>
      <c r="C18" s="483">
        <v>1189684</v>
      </c>
      <c r="D18" s="18">
        <v>-151750</v>
      </c>
      <c r="E18" s="18">
        <v>108814</v>
      </c>
      <c r="F18" s="18">
        <v>15097</v>
      </c>
      <c r="G18" s="19">
        <f>SUM(C18:F18)</f>
        <v>1161845</v>
      </c>
    </row>
    <row r="19" spans="1:7" s="31" customFormat="1" ht="15">
      <c r="A19" s="29" t="s">
        <v>228</v>
      </c>
      <c r="B19" s="30"/>
      <c r="C19" s="367">
        <f>SUM(C20:C24)</f>
        <v>-278831</v>
      </c>
      <c r="G19" s="19">
        <f>SUM(C19:F19)</f>
        <v>-278831</v>
      </c>
    </row>
    <row r="20" spans="1:7" s="31" customFormat="1" ht="63">
      <c r="A20" s="76" t="s">
        <v>420</v>
      </c>
      <c r="B20" s="79"/>
      <c r="C20" s="468">
        <v>-293739</v>
      </c>
      <c r="G20" s="19"/>
    </row>
    <row r="21" spans="1:7" s="31" customFormat="1" ht="63">
      <c r="A21" s="76" t="s">
        <v>467</v>
      </c>
      <c r="B21" s="79"/>
      <c r="C21" s="468">
        <v>76883</v>
      </c>
      <c r="G21" s="19"/>
    </row>
    <row r="22" spans="1:7" s="31" customFormat="1" ht="31.5">
      <c r="A22" s="76" t="s">
        <v>632</v>
      </c>
      <c r="B22" s="79"/>
      <c r="C22" s="468">
        <v>-29250</v>
      </c>
      <c r="G22" s="19"/>
    </row>
    <row r="23" spans="1:7" s="31" customFormat="1" ht="31.5">
      <c r="A23" s="76" t="s">
        <v>633</v>
      </c>
      <c r="B23" s="79"/>
      <c r="C23" s="468">
        <v>-32725</v>
      </c>
      <c r="G23" s="19"/>
    </row>
    <row r="24" spans="1:7" s="31" customFormat="1" ht="15.75">
      <c r="A24" s="76"/>
      <c r="B24" s="79"/>
      <c r="C24" s="382"/>
      <c r="G24" s="19"/>
    </row>
    <row r="25" spans="1:7" s="31" customFormat="1" ht="15">
      <c r="A25" s="29"/>
      <c r="B25" s="30"/>
      <c r="C25" s="367"/>
      <c r="G25" s="19"/>
    </row>
    <row r="26" spans="1:7" s="31" customFormat="1" ht="15">
      <c r="A26" s="29"/>
      <c r="B26" s="80"/>
      <c r="C26" s="91"/>
      <c r="G26" s="19"/>
    </row>
    <row r="27" spans="1:7" s="31" customFormat="1" ht="15">
      <c r="A27" s="29"/>
      <c r="B27" s="80"/>
      <c r="C27" s="81"/>
      <c r="G27" s="19"/>
    </row>
    <row r="28" spans="1:7" s="31" customFormat="1" ht="18" customHeight="1">
      <c r="A28" s="496" t="s">
        <v>377</v>
      </c>
      <c r="B28" s="496"/>
      <c r="C28" s="496"/>
      <c r="D28" s="496"/>
      <c r="E28" s="496"/>
      <c r="F28" s="496"/>
      <c r="G28" s="496"/>
    </row>
    <row r="29" spans="1:7" s="31" customFormat="1" ht="15.75">
      <c r="A29" s="75"/>
      <c r="B29" s="75"/>
      <c r="C29" s="75"/>
      <c r="D29" s="89" t="s">
        <v>366</v>
      </c>
      <c r="E29" s="75"/>
      <c r="F29" s="75"/>
      <c r="G29" s="75"/>
    </row>
    <row r="30" spans="1:7" s="31" customFormat="1" ht="30">
      <c r="A30" s="364" t="s">
        <v>505</v>
      </c>
      <c r="B30" s="90"/>
      <c r="C30" s="90"/>
      <c r="D30" s="376">
        <v>-710000</v>
      </c>
      <c r="E30" s="75"/>
      <c r="F30" s="75"/>
      <c r="G30" s="75"/>
    </row>
    <row r="31" spans="1:7" s="31" customFormat="1" ht="18.75" customHeight="1">
      <c r="A31" s="29" t="s">
        <v>567</v>
      </c>
      <c r="B31" s="90"/>
      <c r="C31" s="90"/>
      <c r="D31" s="110">
        <f>72082+14579</f>
        <v>86661</v>
      </c>
      <c r="E31" s="75"/>
      <c r="F31" s="75"/>
      <c r="G31" s="75"/>
    </row>
    <row r="32" spans="1:7" s="31" customFormat="1" ht="30" customHeight="1">
      <c r="A32" s="29" t="s">
        <v>619</v>
      </c>
      <c r="B32" s="90"/>
      <c r="C32" s="90"/>
      <c r="D32" s="469">
        <v>2962</v>
      </c>
      <c r="E32" s="75"/>
      <c r="F32" s="75"/>
      <c r="G32" s="75"/>
    </row>
    <row r="33" spans="1:7" s="31" customFormat="1" ht="30">
      <c r="A33" s="29" t="s">
        <v>617</v>
      </c>
      <c r="B33" s="90"/>
      <c r="C33" s="90"/>
      <c r="D33" s="110">
        <v>2758</v>
      </c>
      <c r="E33" s="75"/>
      <c r="F33" s="75"/>
      <c r="G33" s="75"/>
    </row>
    <row r="34" spans="1:7" s="31" customFormat="1" ht="30">
      <c r="A34" s="364" t="s">
        <v>620</v>
      </c>
      <c r="B34" s="90"/>
      <c r="C34" s="90"/>
      <c r="D34" s="110">
        <v>453</v>
      </c>
      <c r="E34" s="75"/>
      <c r="F34" s="75"/>
      <c r="G34" s="75"/>
    </row>
    <row r="35" spans="1:7" s="31" customFormat="1" ht="30">
      <c r="A35" s="364" t="s">
        <v>621</v>
      </c>
      <c r="B35" s="90"/>
      <c r="C35" s="90"/>
      <c r="D35" s="110">
        <v>272</v>
      </c>
      <c r="E35" s="75"/>
      <c r="F35" s="75"/>
      <c r="G35" s="75"/>
    </row>
    <row r="36" spans="1:7" s="31" customFormat="1" ht="30">
      <c r="A36" s="29" t="s">
        <v>618</v>
      </c>
      <c r="B36" s="90"/>
      <c r="C36" s="90"/>
      <c r="D36" s="110">
        <v>968</v>
      </c>
      <c r="E36" s="75"/>
      <c r="F36" s="75"/>
      <c r="G36" s="75"/>
    </row>
    <row r="37" spans="1:7" s="31" customFormat="1" ht="30">
      <c r="A37" s="364" t="s">
        <v>622</v>
      </c>
      <c r="B37" s="90"/>
      <c r="C37" s="90"/>
      <c r="D37" s="110">
        <v>20691</v>
      </c>
      <c r="E37" s="75"/>
      <c r="F37" s="75"/>
      <c r="G37" s="75"/>
    </row>
    <row r="38" spans="1:4" s="92" customFormat="1" ht="18.75" customHeight="1">
      <c r="A38" s="308"/>
      <c r="C38" s="92" t="s">
        <v>342</v>
      </c>
      <c r="D38" s="93">
        <f>SUM(D30:D37)</f>
        <v>-595235</v>
      </c>
    </row>
    <row r="39" spans="1:4" s="92" customFormat="1" ht="15">
      <c r="A39" s="72"/>
      <c r="D39" s="93"/>
    </row>
    <row r="40" spans="1:7" s="92" customFormat="1" ht="45" customHeight="1">
      <c r="A40" s="496" t="s">
        <v>373</v>
      </c>
      <c r="B40" s="496"/>
      <c r="C40" s="496"/>
      <c r="D40" s="496"/>
      <c r="E40" s="496"/>
      <c r="F40" s="496"/>
      <c r="G40" s="496"/>
    </row>
    <row r="41" spans="1:4" s="92" customFormat="1" ht="15.75">
      <c r="A41" s="72"/>
      <c r="D41" s="89" t="s">
        <v>366</v>
      </c>
    </row>
    <row r="42" spans="1:4" s="92" customFormat="1" ht="39">
      <c r="A42" s="467" t="s">
        <v>604</v>
      </c>
      <c r="D42" s="466">
        <v>-1094</v>
      </c>
    </row>
    <row r="43" spans="1:4" s="92" customFormat="1" ht="63.75" customHeight="1">
      <c r="A43" s="72" t="s">
        <v>614</v>
      </c>
      <c r="D43" s="470">
        <v>20000</v>
      </c>
    </row>
    <row r="44" spans="1:4" s="101" customFormat="1" ht="31.5">
      <c r="A44" s="465" t="s">
        <v>632</v>
      </c>
      <c r="D44" s="466">
        <v>29250</v>
      </c>
    </row>
    <row r="45" spans="1:4" s="101" customFormat="1" ht="31.5">
      <c r="A45" s="465" t="s">
        <v>633</v>
      </c>
      <c r="D45" s="466">
        <v>32725</v>
      </c>
    </row>
    <row r="46" spans="1:4" s="101" customFormat="1" ht="90">
      <c r="A46" s="20" t="s">
        <v>686</v>
      </c>
      <c r="D46" s="466">
        <v>112500</v>
      </c>
    </row>
    <row r="47" spans="1:4" s="92" customFormat="1" ht="15">
      <c r="A47" s="72"/>
      <c r="C47" s="92" t="s">
        <v>342</v>
      </c>
      <c r="D47" s="93">
        <f>SUM(D42:D46)</f>
        <v>193381</v>
      </c>
    </row>
    <row r="48" spans="1:4" s="92" customFormat="1" ht="15">
      <c r="A48" s="72"/>
      <c r="D48" s="93"/>
    </row>
    <row r="49" spans="1:6" s="92" customFormat="1" ht="18.75">
      <c r="A49" s="496" t="s">
        <v>624</v>
      </c>
      <c r="B49" s="496"/>
      <c r="C49" s="496"/>
      <c r="D49" s="496"/>
      <c r="E49" s="496"/>
      <c r="F49" s="496"/>
    </row>
    <row r="50" spans="1:6" s="92" customFormat="1" ht="15">
      <c r="A50" s="458"/>
      <c r="B50" s="459"/>
      <c r="C50" s="459"/>
      <c r="D50" s="75"/>
      <c r="E50" s="460" t="s">
        <v>366</v>
      </c>
      <c r="F50" s="461"/>
    </row>
    <row r="51" spans="1:6" s="92" customFormat="1" ht="30">
      <c r="A51" s="364" t="s">
        <v>634</v>
      </c>
      <c r="B51" s="462"/>
      <c r="C51" s="462"/>
      <c r="D51" s="440">
        <v>35343</v>
      </c>
      <c r="E51" s="440"/>
      <c r="F51" s="461"/>
    </row>
    <row r="52" spans="1:4" s="92" customFormat="1" ht="15">
      <c r="A52" s="72"/>
      <c r="D52" s="93"/>
    </row>
    <row r="53" spans="1:4" s="92" customFormat="1" ht="15">
      <c r="A53" s="72"/>
      <c r="D53" s="93"/>
    </row>
    <row r="54" spans="1:7" s="92" customFormat="1" ht="18" customHeight="1">
      <c r="A54" s="496" t="s">
        <v>455</v>
      </c>
      <c r="B54" s="496"/>
      <c r="C54" s="496"/>
      <c r="D54" s="496"/>
      <c r="E54" s="496"/>
      <c r="F54" s="496"/>
      <c r="G54" s="496"/>
    </row>
    <row r="55" spans="1:4" s="92" customFormat="1" ht="15">
      <c r="A55" s="72"/>
      <c r="D55" s="93"/>
    </row>
    <row r="56" spans="1:4" s="92" customFormat="1" ht="15">
      <c r="A56" s="364"/>
      <c r="B56" s="90"/>
      <c r="C56" s="90"/>
      <c r="D56" s="110"/>
    </row>
    <row r="57" spans="1:4" s="92" customFormat="1" ht="15">
      <c r="A57" s="72"/>
      <c r="B57" s="94"/>
      <c r="C57" s="94"/>
      <c r="D57" s="110"/>
    </row>
    <row r="58" spans="1:4" s="92" customFormat="1" ht="15">
      <c r="A58" s="72"/>
      <c r="C58" s="92" t="s">
        <v>342</v>
      </c>
      <c r="D58" s="93">
        <f>SUM(D56:D57)</f>
        <v>0</v>
      </c>
    </row>
    <row r="59" spans="1:7" s="92" customFormat="1" ht="18.75">
      <c r="A59" s="496" t="s">
        <v>477</v>
      </c>
      <c r="B59" s="496"/>
      <c r="C59" s="496"/>
      <c r="D59" s="496"/>
      <c r="E59" s="496"/>
      <c r="F59" s="496"/>
      <c r="G59" s="496"/>
    </row>
    <row r="60" spans="1:4" s="92" customFormat="1" ht="15">
      <c r="A60" s="72"/>
      <c r="D60" s="93"/>
    </row>
    <row r="61" spans="1:4" s="92" customFormat="1" ht="30">
      <c r="A61" s="72" t="s">
        <v>681</v>
      </c>
      <c r="D61" s="358">
        <v>3528</v>
      </c>
    </row>
    <row r="62" spans="1:4" s="92" customFormat="1" ht="30">
      <c r="A62" s="72" t="s">
        <v>682</v>
      </c>
      <c r="D62" s="358">
        <v>1960</v>
      </c>
    </row>
    <row r="63" spans="1:4" s="92" customFormat="1" ht="30">
      <c r="A63" s="72" t="s">
        <v>683</v>
      </c>
      <c r="D63" s="358">
        <v>1764</v>
      </c>
    </row>
    <row r="64" spans="1:4" s="92" customFormat="1" ht="15">
      <c r="A64" s="72"/>
      <c r="D64" s="93">
        <f>SUM(D61:D63)</f>
        <v>7252</v>
      </c>
    </row>
    <row r="65" spans="1:4" s="92" customFormat="1" ht="15">
      <c r="A65" s="72"/>
      <c r="D65" s="93"/>
    </row>
    <row r="66" spans="1:5" ht="18" customHeight="1">
      <c r="A66" s="90" t="s">
        <v>394</v>
      </c>
      <c r="B66" s="90"/>
      <c r="C66" s="90"/>
      <c r="D66" s="90"/>
      <c r="E66" s="90" t="s">
        <v>38</v>
      </c>
    </row>
    <row r="67" spans="1:5" ht="15">
      <c r="A67" s="90"/>
      <c r="B67" s="90"/>
      <c r="C67" s="90"/>
      <c r="D67" s="90"/>
      <c r="E67" s="90"/>
    </row>
    <row r="71" ht="18" customHeight="1"/>
  </sheetData>
  <sheetProtection/>
  <mergeCells count="6">
    <mergeCell ref="A59:G59"/>
    <mergeCell ref="A54:G54"/>
    <mergeCell ref="A40:G40"/>
    <mergeCell ref="A2:F2"/>
    <mergeCell ref="A28:G28"/>
    <mergeCell ref="A49:F49"/>
  </mergeCells>
  <printOptions/>
  <pageMargins left="0.7480314960629921" right="0.15748031496062992" top="0.4330708661417323" bottom="0.2755905511811024" header="0.5511811023622047" footer="0.275590551181102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155"/>
  <sheetViews>
    <sheetView zoomScalePageLayoutView="0" workbookViewId="0" topLeftCell="A1">
      <selection activeCell="A1" sqref="A1:IV16384"/>
    </sheetView>
  </sheetViews>
  <sheetFormatPr defaultColWidth="9.140625" defaultRowHeight="12.75"/>
  <cols>
    <col min="1" max="1" width="27.421875" style="90" customWidth="1"/>
    <col min="2" max="2" width="12.00390625" style="252" customWidth="1"/>
    <col min="3" max="3" width="34.140625" style="90" customWidth="1"/>
    <col min="4" max="4" width="13.28125" style="91" customWidth="1"/>
    <col min="5" max="5" width="55.421875" style="90" customWidth="1"/>
    <col min="6" max="6" width="37.00390625" style="90" customWidth="1"/>
    <col min="7" max="9" width="9.140625" style="90" customWidth="1"/>
    <col min="10" max="10" width="31.00390625" style="90" customWidth="1"/>
    <col min="11" max="16384" width="9.140625" style="90" customWidth="1"/>
  </cols>
  <sheetData>
    <row r="1" ht="15">
      <c r="E1" s="90" t="s">
        <v>39</v>
      </c>
    </row>
    <row r="2" spans="1:5" ht="18.75">
      <c r="A2" s="498" t="s">
        <v>534</v>
      </c>
      <c r="B2" s="498"/>
      <c r="C2" s="498"/>
      <c r="D2" s="498"/>
      <c r="E2" s="498"/>
    </row>
    <row r="3" spans="1:5" ht="31.5">
      <c r="A3" s="296" t="s">
        <v>3</v>
      </c>
      <c r="B3" s="297" t="s">
        <v>7</v>
      </c>
      <c r="C3" s="296" t="s">
        <v>4</v>
      </c>
      <c r="D3" s="298" t="s">
        <v>5</v>
      </c>
      <c r="E3" s="296" t="s">
        <v>6</v>
      </c>
    </row>
    <row r="4" spans="1:5" ht="15.75">
      <c r="A4" s="296"/>
      <c r="B4" s="299"/>
      <c r="C4" s="296"/>
      <c r="D4" s="298" t="s">
        <v>366</v>
      </c>
      <c r="E4" s="77"/>
    </row>
    <row r="5" spans="1:5" ht="15">
      <c r="A5" s="254" t="s">
        <v>148</v>
      </c>
      <c r="B5" s="255" t="s">
        <v>71</v>
      </c>
      <c r="C5" s="256"/>
      <c r="D5" s="257">
        <f>SUM(D6,D10)</f>
        <v>188100</v>
      </c>
      <c r="E5" s="253"/>
    </row>
    <row r="6" spans="1:5" ht="15">
      <c r="A6" s="258" t="s">
        <v>376</v>
      </c>
      <c r="B6" s="259" t="s">
        <v>257</v>
      </c>
      <c r="C6" s="256"/>
      <c r="D6" s="300">
        <f>SUM(D7:D9)</f>
        <v>19263</v>
      </c>
      <c r="E6" s="115"/>
    </row>
    <row r="7" spans="1:5" ht="60">
      <c r="A7" s="258"/>
      <c r="B7" s="262" t="s">
        <v>219</v>
      </c>
      <c r="C7" s="115" t="s">
        <v>209</v>
      </c>
      <c r="D7" s="261">
        <f>1971+15350</f>
        <v>17321</v>
      </c>
      <c r="E7" s="263" t="s">
        <v>703</v>
      </c>
    </row>
    <row r="8" spans="1:5" ht="15">
      <c r="A8" s="288"/>
      <c r="B8" s="262" t="s">
        <v>221</v>
      </c>
      <c r="C8" s="253" t="s">
        <v>358</v>
      </c>
      <c r="D8" s="261">
        <v>1820</v>
      </c>
      <c r="E8" s="115" t="s">
        <v>641</v>
      </c>
    </row>
    <row r="9" spans="1:5" ht="45">
      <c r="A9" s="484"/>
      <c r="B9" s="262" t="s">
        <v>704</v>
      </c>
      <c r="C9" s="115" t="s">
        <v>438</v>
      </c>
      <c r="D9" s="261">
        <v>122</v>
      </c>
      <c r="E9" s="115" t="s">
        <v>705</v>
      </c>
    </row>
    <row r="10" spans="1:9" s="94" customFormat="1" ht="30">
      <c r="A10" s="264" t="s">
        <v>261</v>
      </c>
      <c r="B10" s="265" t="s">
        <v>396</v>
      </c>
      <c r="C10" s="115"/>
      <c r="D10" s="261">
        <f>200000-5310+24133-15000+1750-122-17279-19335</f>
        <v>168837</v>
      </c>
      <c r="E10" s="115"/>
      <c r="H10" s="366"/>
      <c r="I10" s="20"/>
    </row>
    <row r="11" spans="1:5" ht="29.25">
      <c r="A11" s="256" t="s">
        <v>82</v>
      </c>
      <c r="B11" s="255" t="s">
        <v>81</v>
      </c>
      <c r="C11" s="256"/>
      <c r="D11" s="266">
        <v>0</v>
      </c>
      <c r="E11" s="263"/>
    </row>
    <row r="12" spans="1:5" ht="15">
      <c r="A12" s="145" t="s">
        <v>84</v>
      </c>
      <c r="B12" s="356" t="s">
        <v>10</v>
      </c>
      <c r="C12" s="145"/>
      <c r="D12" s="54">
        <f>SUM(D13,D15,D17,D19,D20,D21,D23)</f>
        <v>-605291</v>
      </c>
      <c r="E12" s="115"/>
    </row>
    <row r="13" spans="1:5" ht="15">
      <c r="A13" s="357" t="s">
        <v>644</v>
      </c>
      <c r="B13" s="259" t="s">
        <v>574</v>
      </c>
      <c r="C13" s="133"/>
      <c r="D13" s="268">
        <f>SUM(D14:D14)</f>
        <v>10930</v>
      </c>
      <c r="E13" s="115"/>
    </row>
    <row r="14" spans="1:5" ht="45">
      <c r="A14" s="312"/>
      <c r="B14" s="260" t="s">
        <v>219</v>
      </c>
      <c r="C14" s="263" t="s">
        <v>209</v>
      </c>
      <c r="D14" s="38">
        <f>1500+2430+7000</f>
        <v>10930</v>
      </c>
      <c r="E14" s="115" t="s">
        <v>702</v>
      </c>
    </row>
    <row r="15" spans="1:5" ht="45">
      <c r="A15" s="272" t="s">
        <v>474</v>
      </c>
      <c r="B15" s="259" t="s">
        <v>410</v>
      </c>
      <c r="C15" s="133"/>
      <c r="D15" s="268">
        <f>SUM(D16)</f>
        <v>23000</v>
      </c>
      <c r="E15" s="115"/>
    </row>
    <row r="16" spans="1:5" ht="15">
      <c r="A16" s="312"/>
      <c r="B16" s="260" t="s">
        <v>220</v>
      </c>
      <c r="C16" s="263" t="s">
        <v>250</v>
      </c>
      <c r="D16" s="38">
        <v>23000</v>
      </c>
      <c r="E16" s="115" t="s">
        <v>645</v>
      </c>
    </row>
    <row r="17" spans="1:5" ht="15">
      <c r="A17" s="388" t="s">
        <v>374</v>
      </c>
      <c r="B17" s="259" t="s">
        <v>267</v>
      </c>
      <c r="C17" s="253"/>
      <c r="D17" s="268">
        <f>SUM(D18:D18)</f>
        <v>72292</v>
      </c>
      <c r="E17" s="133" t="s">
        <v>22</v>
      </c>
    </row>
    <row r="18" spans="1:5" ht="15">
      <c r="A18" s="272"/>
      <c r="B18" s="260" t="s">
        <v>220</v>
      </c>
      <c r="C18" s="263" t="s">
        <v>250</v>
      </c>
      <c r="D18" s="38">
        <v>72292</v>
      </c>
      <c r="E18" s="481" t="s">
        <v>701</v>
      </c>
    </row>
    <row r="19" spans="1:5" ht="15">
      <c r="A19" s="272" t="s">
        <v>374</v>
      </c>
      <c r="B19" s="259" t="s">
        <v>267</v>
      </c>
      <c r="C19" s="253" t="s">
        <v>393</v>
      </c>
      <c r="D19" s="54">
        <v>-5926</v>
      </c>
      <c r="E19" s="381" t="s">
        <v>649</v>
      </c>
    </row>
    <row r="20" spans="1:5" ht="15">
      <c r="A20" s="272" t="s">
        <v>269</v>
      </c>
      <c r="B20" s="259" t="s">
        <v>268</v>
      </c>
      <c r="C20" s="253" t="s">
        <v>400</v>
      </c>
      <c r="D20" s="54">
        <v>-50987</v>
      </c>
      <c r="E20" s="263" t="s">
        <v>388</v>
      </c>
    </row>
    <row r="21" spans="1:5" ht="75">
      <c r="A21" s="357" t="s">
        <v>709</v>
      </c>
      <c r="B21" s="259" t="s">
        <v>350</v>
      </c>
      <c r="C21" s="253"/>
      <c r="D21" s="54">
        <f>D22</f>
        <v>55400</v>
      </c>
      <c r="E21" s="115" t="s">
        <v>706</v>
      </c>
    </row>
    <row r="22" spans="1:5" ht="15">
      <c r="A22" s="272"/>
      <c r="B22" s="260" t="s">
        <v>220</v>
      </c>
      <c r="C22" s="263" t="s">
        <v>250</v>
      </c>
      <c r="D22" s="38">
        <f>7000+48400</f>
        <v>55400</v>
      </c>
      <c r="E22" s="115"/>
    </row>
    <row r="23" spans="1:5" ht="47.25">
      <c r="A23" s="448" t="s">
        <v>505</v>
      </c>
      <c r="B23" s="259" t="s">
        <v>504</v>
      </c>
      <c r="C23" s="263"/>
      <c r="D23" s="268">
        <f>SUM(D24)</f>
        <v>-710000</v>
      </c>
      <c r="E23" s="115" t="s">
        <v>543</v>
      </c>
    </row>
    <row r="24" spans="1:5" ht="15">
      <c r="A24" s="267"/>
      <c r="B24" s="260" t="s">
        <v>220</v>
      </c>
      <c r="C24" s="263" t="s">
        <v>250</v>
      </c>
      <c r="D24" s="38">
        <v>-710000</v>
      </c>
      <c r="E24" s="115" t="s">
        <v>630</v>
      </c>
    </row>
    <row r="25" spans="1:5" ht="15">
      <c r="A25" s="274" t="s">
        <v>95</v>
      </c>
      <c r="B25" s="275" t="s">
        <v>33</v>
      </c>
      <c r="C25" s="274"/>
      <c r="D25" s="266">
        <f>SUM(D26:D31)</f>
        <v>62248</v>
      </c>
      <c r="E25" s="273"/>
    </row>
    <row r="26" spans="1:5" ht="30">
      <c r="A26" s="272" t="s">
        <v>391</v>
      </c>
      <c r="B26" s="276" t="s">
        <v>392</v>
      </c>
      <c r="C26" s="253"/>
      <c r="D26" s="54"/>
      <c r="E26" s="270"/>
    </row>
    <row r="27" spans="1:5" ht="15">
      <c r="A27" s="272"/>
      <c r="B27" s="276"/>
      <c r="C27" s="253" t="s">
        <v>400</v>
      </c>
      <c r="D27" s="54">
        <v>37030</v>
      </c>
      <c r="E27" s="263" t="s">
        <v>388</v>
      </c>
    </row>
    <row r="28" spans="1:5" ht="30">
      <c r="A28" s="476" t="s">
        <v>678</v>
      </c>
      <c r="B28" s="276" t="s">
        <v>677</v>
      </c>
      <c r="C28" s="133"/>
      <c r="D28" s="54"/>
      <c r="E28" s="387"/>
    </row>
    <row r="29" spans="1:5" ht="15">
      <c r="A29" s="272"/>
      <c r="B29" s="260" t="s">
        <v>219</v>
      </c>
      <c r="C29" s="263" t="s">
        <v>209</v>
      </c>
      <c r="D29" s="38">
        <v>9602</v>
      </c>
      <c r="E29" s="387" t="s">
        <v>679</v>
      </c>
    </row>
    <row r="30" spans="1:5" ht="30">
      <c r="A30" s="272" t="s">
        <v>360</v>
      </c>
      <c r="B30" s="276"/>
      <c r="C30" s="253"/>
      <c r="D30" s="54"/>
      <c r="E30" s="270"/>
    </row>
    <row r="31" spans="1:5" ht="15">
      <c r="A31" s="272"/>
      <c r="B31" s="276" t="s">
        <v>273</v>
      </c>
      <c r="C31" s="253" t="s">
        <v>400</v>
      </c>
      <c r="D31" s="54">
        <v>15616</v>
      </c>
      <c r="E31" s="263" t="s">
        <v>388</v>
      </c>
    </row>
    <row r="32" spans="1:5" ht="29.25">
      <c r="A32" s="274" t="s">
        <v>150</v>
      </c>
      <c r="B32" s="275" t="s">
        <v>13</v>
      </c>
      <c r="C32" s="274"/>
      <c r="D32" s="266">
        <f>SUM(D33,D37:D38,D39:D43,D44,D46,D49,D51,D53,D55)</f>
        <v>1224089</v>
      </c>
      <c r="E32" s="263"/>
    </row>
    <row r="33" spans="1:5" ht="29.25">
      <c r="A33" s="293" t="s">
        <v>547</v>
      </c>
      <c r="B33" s="276" t="s">
        <v>585</v>
      </c>
      <c r="C33" s="274"/>
      <c r="D33" s="268">
        <f>SUM(D34:D36)</f>
        <v>91466</v>
      </c>
      <c r="E33" s="263"/>
    </row>
    <row r="34" spans="1:5" ht="15">
      <c r="A34" s="293"/>
      <c r="B34" s="375" t="s">
        <v>220</v>
      </c>
      <c r="C34" s="306" t="s">
        <v>250</v>
      </c>
      <c r="D34" s="38">
        <v>40000</v>
      </c>
      <c r="E34" s="263" t="s">
        <v>548</v>
      </c>
    </row>
    <row r="35" spans="1:5" ht="30">
      <c r="A35" s="293"/>
      <c r="B35" s="260" t="s">
        <v>220</v>
      </c>
      <c r="C35" s="306" t="s">
        <v>250</v>
      </c>
      <c r="D35" s="38">
        <v>966</v>
      </c>
      <c r="E35" s="263" t="s">
        <v>700</v>
      </c>
    </row>
    <row r="36" spans="1:5" ht="45">
      <c r="A36" s="293"/>
      <c r="B36" s="260" t="s">
        <v>220</v>
      </c>
      <c r="C36" s="306" t="s">
        <v>250</v>
      </c>
      <c r="D36" s="38">
        <v>50500</v>
      </c>
      <c r="E36" s="473" t="s">
        <v>685</v>
      </c>
    </row>
    <row r="37" spans="1:5" ht="15">
      <c r="A37" s="267" t="s">
        <v>102</v>
      </c>
      <c r="B37" s="265" t="s">
        <v>101</v>
      </c>
      <c r="C37" s="253" t="s">
        <v>400</v>
      </c>
      <c r="D37" s="54">
        <v>-14652</v>
      </c>
      <c r="E37" s="263" t="s">
        <v>388</v>
      </c>
    </row>
    <row r="38" spans="1:5" ht="15">
      <c r="A38" s="267"/>
      <c r="B38" s="265" t="s">
        <v>101</v>
      </c>
      <c r="C38" s="133" t="s">
        <v>389</v>
      </c>
      <c r="D38" s="54">
        <v>18007</v>
      </c>
      <c r="E38" s="480" t="s">
        <v>690</v>
      </c>
    </row>
    <row r="39" spans="1:5" ht="14.25" customHeight="1">
      <c r="A39" s="267" t="s">
        <v>104</v>
      </c>
      <c r="B39" s="259" t="s">
        <v>103</v>
      </c>
      <c r="C39" s="133" t="s">
        <v>389</v>
      </c>
      <c r="D39" s="488">
        <v>5926</v>
      </c>
      <c r="E39" s="381" t="s">
        <v>650</v>
      </c>
    </row>
    <row r="40" spans="1:9" ht="78.75">
      <c r="A40" s="264" t="s">
        <v>381</v>
      </c>
      <c r="B40" s="259" t="s">
        <v>280</v>
      </c>
      <c r="C40" s="253" t="s">
        <v>389</v>
      </c>
      <c r="D40" s="54">
        <f>70000+8349+6538</f>
        <v>84887</v>
      </c>
      <c r="E40" s="76" t="s">
        <v>699</v>
      </c>
      <c r="H40" s="75"/>
      <c r="I40" s="75"/>
    </row>
    <row r="41" spans="1:9" ht="15">
      <c r="A41" s="264"/>
      <c r="B41" s="259" t="s">
        <v>280</v>
      </c>
      <c r="C41" s="253" t="s">
        <v>400</v>
      </c>
      <c r="D41" s="54">
        <v>719422</v>
      </c>
      <c r="E41" s="263" t="s">
        <v>388</v>
      </c>
      <c r="I41" s="90" t="s">
        <v>680</v>
      </c>
    </row>
    <row r="42" spans="1:5" ht="15">
      <c r="A42" s="264"/>
      <c r="B42" s="259" t="s">
        <v>280</v>
      </c>
      <c r="C42" s="253" t="s">
        <v>651</v>
      </c>
      <c r="D42" s="54">
        <v>24133</v>
      </c>
      <c r="E42" s="48" t="s">
        <v>635</v>
      </c>
    </row>
    <row r="43" spans="1:5" ht="15">
      <c r="A43" s="269" t="s">
        <v>382</v>
      </c>
      <c r="B43" s="259" t="s">
        <v>281</v>
      </c>
      <c r="C43" s="253" t="s">
        <v>400</v>
      </c>
      <c r="D43" s="54">
        <v>-104048</v>
      </c>
      <c r="E43" s="263" t="s">
        <v>388</v>
      </c>
    </row>
    <row r="44" spans="1:5" ht="30">
      <c r="A44" s="271" t="s">
        <v>589</v>
      </c>
      <c r="B44" s="265" t="s">
        <v>638</v>
      </c>
      <c r="C44" s="133"/>
      <c r="D44" s="268">
        <f>D45</f>
        <v>2000</v>
      </c>
      <c r="E44" s="263"/>
    </row>
    <row r="45" spans="1:5" ht="15">
      <c r="A45" s="264"/>
      <c r="B45" s="260" t="s">
        <v>220</v>
      </c>
      <c r="C45" s="133" t="s">
        <v>627</v>
      </c>
      <c r="D45" s="38">
        <v>2000</v>
      </c>
      <c r="E45" s="472" t="s">
        <v>626</v>
      </c>
    </row>
    <row r="46" spans="1:5" ht="45">
      <c r="A46" s="264" t="s">
        <v>640</v>
      </c>
      <c r="B46" s="265" t="s">
        <v>286</v>
      </c>
      <c r="C46" s="115"/>
      <c r="D46" s="268">
        <f>SUM(D47:D48)</f>
        <v>19335</v>
      </c>
      <c r="E46" s="115" t="s">
        <v>715</v>
      </c>
    </row>
    <row r="47" spans="1:5" ht="15">
      <c r="A47" s="264"/>
      <c r="B47" s="262" t="s">
        <v>219</v>
      </c>
      <c r="C47" s="115" t="s">
        <v>209</v>
      </c>
      <c r="D47" s="38">
        <v>18000</v>
      </c>
      <c r="E47" s="115"/>
    </row>
    <row r="48" spans="1:5" ht="15">
      <c r="A48" s="264"/>
      <c r="B48" s="262" t="s">
        <v>221</v>
      </c>
      <c r="C48" s="133" t="s">
        <v>358</v>
      </c>
      <c r="D48" s="38">
        <v>1335</v>
      </c>
      <c r="E48" s="115"/>
    </row>
    <row r="49" spans="1:5" ht="45" customHeight="1">
      <c r="A49" s="264" t="s">
        <v>646</v>
      </c>
      <c r="B49" s="307" t="s">
        <v>354</v>
      </c>
      <c r="C49" s="306"/>
      <c r="D49" s="268">
        <f>SUM(D50:D50)</f>
        <v>135387</v>
      </c>
      <c r="E49" s="115"/>
    </row>
    <row r="50" spans="1:5" ht="15">
      <c r="A50" s="264"/>
      <c r="B50" s="305" t="s">
        <v>220</v>
      </c>
      <c r="C50" s="263" t="s">
        <v>1</v>
      </c>
      <c r="D50" s="38">
        <v>135387</v>
      </c>
      <c r="E50" s="115" t="s">
        <v>647</v>
      </c>
    </row>
    <row r="51" spans="1:5" ht="75">
      <c r="A51" s="357" t="s">
        <v>467</v>
      </c>
      <c r="B51" s="373" t="s">
        <v>468</v>
      </c>
      <c r="C51" s="304"/>
      <c r="D51" s="268">
        <f>SUM(D52)</f>
        <v>76883</v>
      </c>
      <c r="E51" s="115"/>
    </row>
    <row r="52" spans="1:5" ht="15">
      <c r="A52" s="372"/>
      <c r="B52" s="305" t="s">
        <v>220</v>
      </c>
      <c r="C52" s="263" t="s">
        <v>1</v>
      </c>
      <c r="D52" s="463">
        <v>76883</v>
      </c>
      <c r="E52" s="464" t="s">
        <v>631</v>
      </c>
    </row>
    <row r="53" spans="1:5" ht="135">
      <c r="A53" s="264" t="s">
        <v>686</v>
      </c>
      <c r="B53" s="373" t="s">
        <v>508</v>
      </c>
      <c r="C53" s="263"/>
      <c r="D53" s="474">
        <f>D54</f>
        <v>150000</v>
      </c>
      <c r="E53" s="464" t="s">
        <v>639</v>
      </c>
    </row>
    <row r="54" spans="1:5" ht="30">
      <c r="A54" s="372"/>
      <c r="B54" s="305" t="s">
        <v>220</v>
      </c>
      <c r="C54" s="263" t="s">
        <v>1</v>
      </c>
      <c r="D54" s="463">
        <v>150000</v>
      </c>
      <c r="E54" s="115" t="s">
        <v>689</v>
      </c>
    </row>
    <row r="55" spans="1:5" ht="45">
      <c r="A55" s="269" t="s">
        <v>713</v>
      </c>
      <c r="B55" s="373" t="s">
        <v>710</v>
      </c>
      <c r="C55" s="115"/>
      <c r="D55" s="268">
        <f>D56</f>
        <v>15343</v>
      </c>
      <c r="E55" s="115" t="s">
        <v>712</v>
      </c>
    </row>
    <row r="56" spans="1:5" ht="15">
      <c r="A56" s="372"/>
      <c r="B56" s="262" t="s">
        <v>359</v>
      </c>
      <c r="C56" s="115" t="s">
        <v>361</v>
      </c>
      <c r="D56" s="38">
        <v>15343</v>
      </c>
      <c r="E56" s="115"/>
    </row>
    <row r="57" spans="1:5" ht="15">
      <c r="A57" s="145" t="s">
        <v>110</v>
      </c>
      <c r="B57" s="275" t="s">
        <v>16</v>
      </c>
      <c r="C57" s="145"/>
      <c r="D57" s="266">
        <f>SUM(D58+D61+D62+D63+D65+D66+D67)</f>
        <v>185939</v>
      </c>
      <c r="E57" s="263"/>
    </row>
    <row r="58" spans="1:5" ht="30">
      <c r="A58" s="269" t="s">
        <v>114</v>
      </c>
      <c r="B58" s="276" t="s">
        <v>368</v>
      </c>
      <c r="C58" s="145"/>
      <c r="D58" s="268">
        <f>SUM(D59:D60)</f>
        <v>-82</v>
      </c>
      <c r="E58" s="133"/>
    </row>
    <row r="59" spans="1:5" ht="15">
      <c r="A59" s="269"/>
      <c r="B59" s="260" t="s">
        <v>219</v>
      </c>
      <c r="C59" s="263" t="s">
        <v>209</v>
      </c>
      <c r="D59" s="38">
        <f>-16160-82</f>
        <v>-16242</v>
      </c>
      <c r="E59" s="133" t="s">
        <v>609</v>
      </c>
    </row>
    <row r="60" spans="1:5" ht="15">
      <c r="A60" s="269"/>
      <c r="B60" s="260" t="s">
        <v>359</v>
      </c>
      <c r="C60" s="263" t="s">
        <v>361</v>
      </c>
      <c r="D60" s="38">
        <v>16160</v>
      </c>
      <c r="E60" s="133" t="s">
        <v>22</v>
      </c>
    </row>
    <row r="61" spans="1:5" ht="15">
      <c r="A61" s="357" t="s">
        <v>472</v>
      </c>
      <c r="B61" s="259" t="s">
        <v>473</v>
      </c>
      <c r="C61" s="253" t="s">
        <v>400</v>
      </c>
      <c r="D61" s="54">
        <v>16317</v>
      </c>
      <c r="E61" s="263" t="s">
        <v>388</v>
      </c>
    </row>
    <row r="62" spans="1:5" ht="15" hidden="1">
      <c r="A62" s="357"/>
      <c r="B62" s="259"/>
      <c r="C62" s="133" t="s">
        <v>389</v>
      </c>
      <c r="D62" s="54"/>
      <c r="E62" s="386"/>
    </row>
    <row r="63" spans="1:5" ht="45">
      <c r="A63" s="357" t="s">
        <v>475</v>
      </c>
      <c r="B63" s="279" t="s">
        <v>425</v>
      </c>
      <c r="C63" s="253"/>
      <c r="D63" s="268">
        <f>SUM(D64:D64)</f>
        <v>30000</v>
      </c>
      <c r="E63" s="133"/>
    </row>
    <row r="64" spans="1:5" ht="15">
      <c r="A64" s="145"/>
      <c r="B64" s="260" t="s">
        <v>220</v>
      </c>
      <c r="C64" s="253" t="s">
        <v>214</v>
      </c>
      <c r="D64" s="38">
        <v>30000</v>
      </c>
      <c r="E64" s="115" t="s">
        <v>642</v>
      </c>
    </row>
    <row r="65" spans="1:5" ht="15">
      <c r="A65" s="269" t="s">
        <v>375</v>
      </c>
      <c r="B65" s="279" t="s">
        <v>118</v>
      </c>
      <c r="C65" s="133" t="s">
        <v>383</v>
      </c>
      <c r="D65" s="268">
        <v>49262</v>
      </c>
      <c r="E65" s="263" t="s">
        <v>478</v>
      </c>
    </row>
    <row r="66" spans="1:5" ht="30">
      <c r="A66" s="269"/>
      <c r="B66" s="279"/>
      <c r="C66" s="133" t="s">
        <v>2</v>
      </c>
      <c r="D66" s="54">
        <f>59552+10890</f>
        <v>70442</v>
      </c>
      <c r="E66" s="270" t="s">
        <v>714</v>
      </c>
    </row>
    <row r="67" spans="1:5" ht="45">
      <c r="A67" s="269" t="s">
        <v>625</v>
      </c>
      <c r="B67" s="259" t="s">
        <v>605</v>
      </c>
      <c r="C67" s="253"/>
      <c r="D67" s="268">
        <f>SUM(D68:D68)</f>
        <v>20000</v>
      </c>
      <c r="E67" s="270" t="s">
        <v>606</v>
      </c>
    </row>
    <row r="68" spans="1:5" ht="17.25" customHeight="1">
      <c r="A68" s="269"/>
      <c r="B68" s="260" t="s">
        <v>219</v>
      </c>
      <c r="C68" s="263" t="s">
        <v>209</v>
      </c>
      <c r="D68" s="38">
        <v>20000</v>
      </c>
      <c r="E68" s="270"/>
    </row>
    <row r="69" spans="1:5" ht="15">
      <c r="A69" s="277" t="s">
        <v>9</v>
      </c>
      <c r="B69" s="275" t="s">
        <v>123</v>
      </c>
      <c r="C69" s="177" t="s">
        <v>9</v>
      </c>
      <c r="D69" s="266">
        <f>D70+D90+D93+D106+D109+D112</f>
        <v>150732</v>
      </c>
      <c r="E69" s="280"/>
    </row>
    <row r="70" spans="1:5" ht="15">
      <c r="A70" s="281" t="s">
        <v>11</v>
      </c>
      <c r="B70" s="276" t="s">
        <v>124</v>
      </c>
      <c r="C70" s="253"/>
      <c r="D70" s="278">
        <f>SUM(D71+D73+D76+D79+D82+D84+D86+D88)</f>
        <v>22828</v>
      </c>
      <c r="E70" s="133"/>
    </row>
    <row r="71" spans="1:5" ht="16.5" customHeight="1">
      <c r="A71" s="282" t="s">
        <v>226</v>
      </c>
      <c r="B71" s="283" t="s">
        <v>299</v>
      </c>
      <c r="C71" s="284"/>
      <c r="D71" s="268">
        <f>SUM(D72:D72)</f>
        <v>945</v>
      </c>
      <c r="E71" s="192"/>
    </row>
    <row r="72" spans="1:5" ht="15">
      <c r="A72" s="282"/>
      <c r="B72" s="262" t="s">
        <v>221</v>
      </c>
      <c r="C72" s="253" t="s">
        <v>358</v>
      </c>
      <c r="D72" s="38">
        <v>945</v>
      </c>
      <c r="E72" s="285" t="s">
        <v>553</v>
      </c>
    </row>
    <row r="73" spans="1:5" ht="15">
      <c r="A73" s="282" t="s">
        <v>464</v>
      </c>
      <c r="B73" s="283" t="s">
        <v>300</v>
      </c>
      <c r="C73" s="284"/>
      <c r="D73" s="268">
        <f>SUM(D74:D75)</f>
        <v>2399</v>
      </c>
      <c r="E73" s="192"/>
    </row>
    <row r="74" spans="1:5" ht="15">
      <c r="A74" s="282"/>
      <c r="B74" s="260" t="s">
        <v>219</v>
      </c>
      <c r="C74" s="263" t="s">
        <v>209</v>
      </c>
      <c r="D74" s="38">
        <v>300</v>
      </c>
      <c r="E74" s="112" t="s">
        <v>623</v>
      </c>
    </row>
    <row r="75" spans="1:5" ht="15">
      <c r="A75" s="282"/>
      <c r="B75" s="262" t="s">
        <v>221</v>
      </c>
      <c r="C75" s="253" t="s">
        <v>358</v>
      </c>
      <c r="D75" s="38">
        <v>2099</v>
      </c>
      <c r="E75" s="285" t="s">
        <v>549</v>
      </c>
    </row>
    <row r="76" spans="1:5" ht="15">
      <c r="A76" s="286" t="s">
        <v>369</v>
      </c>
      <c r="B76" s="265" t="s">
        <v>301</v>
      </c>
      <c r="C76" s="253"/>
      <c r="D76" s="268">
        <f>SUM(D77:D78)</f>
        <v>1864</v>
      </c>
      <c r="E76" s="115"/>
    </row>
    <row r="77" spans="1:5" ht="15">
      <c r="A77" s="286"/>
      <c r="B77" s="262" t="s">
        <v>219</v>
      </c>
      <c r="C77" s="133" t="s">
        <v>209</v>
      </c>
      <c r="D77" s="38">
        <v>200</v>
      </c>
      <c r="E77" s="112" t="s">
        <v>688</v>
      </c>
    </row>
    <row r="78" spans="1:5" ht="15">
      <c r="A78" s="286"/>
      <c r="B78" s="262" t="s">
        <v>221</v>
      </c>
      <c r="C78" s="253" t="s">
        <v>358</v>
      </c>
      <c r="D78" s="38">
        <v>1664</v>
      </c>
      <c r="E78" s="285" t="s">
        <v>550</v>
      </c>
    </row>
    <row r="79" spans="1:5" ht="15">
      <c r="A79" s="286" t="s">
        <v>461</v>
      </c>
      <c r="B79" s="265" t="s">
        <v>302</v>
      </c>
      <c r="C79" s="253"/>
      <c r="D79" s="268">
        <f>SUM(D80:D81)</f>
        <v>12080</v>
      </c>
      <c r="E79" s="192"/>
    </row>
    <row r="80" spans="1:5" ht="15">
      <c r="A80" s="286"/>
      <c r="B80" s="262" t="s">
        <v>221</v>
      </c>
      <c r="C80" s="253" t="s">
        <v>358</v>
      </c>
      <c r="D80" s="38">
        <v>2080</v>
      </c>
      <c r="E80" s="285" t="s">
        <v>555</v>
      </c>
    </row>
    <row r="81" spans="1:5" ht="15">
      <c r="A81" s="286"/>
      <c r="B81" s="260" t="s">
        <v>220</v>
      </c>
      <c r="C81" s="133" t="s">
        <v>214</v>
      </c>
      <c r="D81" s="38">
        <v>10000</v>
      </c>
      <c r="E81" s="285" t="s">
        <v>707</v>
      </c>
    </row>
    <row r="82" spans="1:5" s="287" customFormat="1" ht="15">
      <c r="A82" s="286" t="s">
        <v>227</v>
      </c>
      <c r="B82" s="259" t="s">
        <v>303</v>
      </c>
      <c r="C82" s="253"/>
      <c r="D82" s="268">
        <f>SUM(D83:D83)</f>
        <v>2421</v>
      </c>
      <c r="E82" s="115"/>
    </row>
    <row r="83" spans="1:5" s="287" customFormat="1" ht="15">
      <c r="A83" s="286"/>
      <c r="B83" s="260" t="s">
        <v>221</v>
      </c>
      <c r="C83" s="253" t="s">
        <v>358</v>
      </c>
      <c r="D83" s="38">
        <v>2421</v>
      </c>
      <c r="E83" s="285" t="s">
        <v>552</v>
      </c>
    </row>
    <row r="84" spans="1:5" s="287" customFormat="1" ht="15">
      <c r="A84" s="286" t="s">
        <v>462</v>
      </c>
      <c r="B84" s="259" t="s">
        <v>304</v>
      </c>
      <c r="C84" s="253"/>
      <c r="D84" s="268">
        <f>SUM(D85:D85)</f>
        <v>529</v>
      </c>
      <c r="E84" s="192"/>
    </row>
    <row r="85" spans="1:5" s="287" customFormat="1" ht="15">
      <c r="A85" s="286"/>
      <c r="B85" s="260" t="s">
        <v>221</v>
      </c>
      <c r="C85" s="253" t="s">
        <v>358</v>
      </c>
      <c r="D85" s="38">
        <v>529</v>
      </c>
      <c r="E85" s="285" t="s">
        <v>556</v>
      </c>
    </row>
    <row r="86" spans="1:5" s="287" customFormat="1" ht="15">
      <c r="A86" s="286" t="s">
        <v>463</v>
      </c>
      <c r="B86" s="265" t="s">
        <v>305</v>
      </c>
      <c r="C86" s="253"/>
      <c r="D86" s="268">
        <f>SUM(D87:D87)</f>
        <v>1626</v>
      </c>
      <c r="E86" s="115"/>
    </row>
    <row r="87" spans="1:5" s="287" customFormat="1" ht="15">
      <c r="A87" s="286"/>
      <c r="B87" s="262" t="s">
        <v>221</v>
      </c>
      <c r="C87" s="253" t="s">
        <v>358</v>
      </c>
      <c r="D87" s="38">
        <v>1626</v>
      </c>
      <c r="E87" s="285" t="s">
        <v>554</v>
      </c>
    </row>
    <row r="88" spans="1:5" s="287" customFormat="1" ht="15">
      <c r="A88" s="286" t="s">
        <v>191</v>
      </c>
      <c r="B88" s="265" t="s">
        <v>306</v>
      </c>
      <c r="C88" s="253"/>
      <c r="D88" s="268">
        <f>SUM(D89:D89)</f>
        <v>964</v>
      </c>
      <c r="E88" s="192"/>
    </row>
    <row r="89" spans="1:5" s="287" customFormat="1" ht="15">
      <c r="A89" s="286"/>
      <c r="B89" s="262" t="s">
        <v>221</v>
      </c>
      <c r="C89" s="253" t="s">
        <v>358</v>
      </c>
      <c r="D89" s="38">
        <v>964</v>
      </c>
      <c r="E89" s="285" t="s">
        <v>551</v>
      </c>
    </row>
    <row r="90" spans="1:5" s="287" customFormat="1" ht="15">
      <c r="A90" s="439" t="s">
        <v>249</v>
      </c>
      <c r="B90" s="259" t="s">
        <v>132</v>
      </c>
      <c r="C90" s="253"/>
      <c r="D90" s="54">
        <f>SUM(D91:D92)</f>
        <v>13690</v>
      </c>
      <c r="E90" s="115"/>
    </row>
    <row r="91" spans="1:5" s="287" customFormat="1" ht="15">
      <c r="A91" s="281"/>
      <c r="B91" s="262" t="s">
        <v>221</v>
      </c>
      <c r="C91" s="253" t="s">
        <v>358</v>
      </c>
      <c r="D91" s="38">
        <v>8700</v>
      </c>
      <c r="E91" s="285" t="s">
        <v>563</v>
      </c>
    </row>
    <row r="92" spans="1:5" s="287" customFormat="1" ht="15">
      <c r="A92" s="281"/>
      <c r="B92" s="260" t="s">
        <v>220</v>
      </c>
      <c r="C92" s="133" t="s">
        <v>214</v>
      </c>
      <c r="D92" s="38">
        <v>4990</v>
      </c>
      <c r="E92" s="285" t="s">
        <v>557</v>
      </c>
    </row>
    <row r="93" spans="1:5" ht="15">
      <c r="A93" s="281" t="s">
        <v>149</v>
      </c>
      <c r="B93" s="276" t="s">
        <v>131</v>
      </c>
      <c r="C93" s="253"/>
      <c r="D93" s="278">
        <f>D94+D97+D100+D103</f>
        <v>45382</v>
      </c>
      <c r="E93" s="112"/>
    </row>
    <row r="94" spans="1:6" ht="15">
      <c r="A94" s="288" t="s">
        <v>133</v>
      </c>
      <c r="B94" s="276" t="s">
        <v>311</v>
      </c>
      <c r="C94" s="253"/>
      <c r="D94" s="268">
        <f>SUM(D95:D96)</f>
        <v>23220</v>
      </c>
      <c r="E94" s="115"/>
      <c r="F94" s="92"/>
    </row>
    <row r="95" spans="1:5" ht="15">
      <c r="A95" s="281"/>
      <c r="B95" s="262" t="s">
        <v>221</v>
      </c>
      <c r="C95" s="253" t="s">
        <v>358</v>
      </c>
      <c r="D95" s="38">
        <v>15666</v>
      </c>
      <c r="E95" s="285" t="s">
        <v>562</v>
      </c>
    </row>
    <row r="96" spans="1:5" ht="15">
      <c r="A96" s="281"/>
      <c r="B96" s="262" t="s">
        <v>220</v>
      </c>
      <c r="C96" s="133" t="s">
        <v>214</v>
      </c>
      <c r="D96" s="38">
        <v>7554</v>
      </c>
      <c r="E96" s="285" t="s">
        <v>558</v>
      </c>
    </row>
    <row r="97" spans="1:5" ht="15">
      <c r="A97" s="288" t="s">
        <v>245</v>
      </c>
      <c r="B97" s="276" t="s">
        <v>312</v>
      </c>
      <c r="C97" s="253"/>
      <c r="D97" s="268">
        <f>SUM(D98:D99)</f>
        <v>7715</v>
      </c>
      <c r="E97" s="115"/>
    </row>
    <row r="98" spans="1:5" ht="15">
      <c r="A98" s="288"/>
      <c r="B98" s="262" t="s">
        <v>221</v>
      </c>
      <c r="C98" s="253" t="s">
        <v>358</v>
      </c>
      <c r="D98" s="38">
        <v>2715</v>
      </c>
      <c r="E98" s="285" t="s">
        <v>564</v>
      </c>
    </row>
    <row r="99" spans="1:5" ht="15">
      <c r="A99" s="288"/>
      <c r="B99" s="260" t="s">
        <v>220</v>
      </c>
      <c r="C99" s="253" t="s">
        <v>214</v>
      </c>
      <c r="D99" s="38">
        <v>5000</v>
      </c>
      <c r="E99" s="285" t="s">
        <v>559</v>
      </c>
    </row>
    <row r="100" spans="1:5" ht="15">
      <c r="A100" s="288" t="s">
        <v>134</v>
      </c>
      <c r="B100" s="259" t="s">
        <v>314</v>
      </c>
      <c r="C100" s="253"/>
      <c r="D100" s="268">
        <f>SUM(D101:D102)</f>
        <v>11478</v>
      </c>
      <c r="E100" s="115"/>
    </row>
    <row r="101" spans="1:5" ht="15">
      <c r="A101" s="288"/>
      <c r="B101" s="260" t="s">
        <v>221</v>
      </c>
      <c r="C101" s="253" t="s">
        <v>358</v>
      </c>
      <c r="D101" s="38">
        <v>6000</v>
      </c>
      <c r="E101" s="285" t="s">
        <v>560</v>
      </c>
    </row>
    <row r="102" spans="1:5" ht="15">
      <c r="A102" s="288"/>
      <c r="B102" s="260" t="s">
        <v>220</v>
      </c>
      <c r="C102" s="253" t="s">
        <v>214</v>
      </c>
      <c r="D102" s="38">
        <v>5478</v>
      </c>
      <c r="E102" s="285" t="s">
        <v>561</v>
      </c>
    </row>
    <row r="103" spans="1:5" ht="15">
      <c r="A103" s="288" t="s">
        <v>135</v>
      </c>
      <c r="B103" s="259" t="s">
        <v>315</v>
      </c>
      <c r="C103" s="253"/>
      <c r="D103" s="313">
        <f>SUM(D104:D105)</f>
        <v>2969</v>
      </c>
      <c r="E103" s="112"/>
    </row>
    <row r="104" spans="1:5" ht="15">
      <c r="A104" s="288"/>
      <c r="B104" s="262" t="s">
        <v>221</v>
      </c>
      <c r="C104" s="253" t="s">
        <v>358</v>
      </c>
      <c r="D104" s="38">
        <v>1969</v>
      </c>
      <c r="E104" s="285" t="s">
        <v>566</v>
      </c>
    </row>
    <row r="105" spans="1:5" ht="15">
      <c r="A105" s="288"/>
      <c r="B105" s="260" t="s">
        <v>220</v>
      </c>
      <c r="C105" s="253" t="s">
        <v>214</v>
      </c>
      <c r="D105" s="38">
        <v>1000</v>
      </c>
      <c r="E105" s="285" t="s">
        <v>565</v>
      </c>
    </row>
    <row r="106" spans="1:5" s="250" customFormat="1" ht="27.75" customHeight="1">
      <c r="A106" s="289" t="s">
        <v>137</v>
      </c>
      <c r="B106" s="259" t="s">
        <v>136</v>
      </c>
      <c r="C106" s="288"/>
      <c r="D106" s="290">
        <f>D107</f>
        <v>82</v>
      </c>
      <c r="E106" s="291"/>
    </row>
    <row r="107" spans="1:5" s="292" customFormat="1" ht="15">
      <c r="A107" s="269" t="s">
        <v>18</v>
      </c>
      <c r="B107" s="265" t="s">
        <v>321</v>
      </c>
      <c r="C107" s="291"/>
      <c r="D107" s="300">
        <f>SUM(D108:D108)</f>
        <v>82</v>
      </c>
      <c r="E107" s="115"/>
    </row>
    <row r="108" spans="1:5" s="250" customFormat="1" ht="20.25" customHeight="1">
      <c r="A108" s="267"/>
      <c r="B108" s="260" t="s">
        <v>219</v>
      </c>
      <c r="C108" s="253" t="s">
        <v>209</v>
      </c>
      <c r="D108" s="261">
        <v>82</v>
      </c>
      <c r="E108" s="112" t="s">
        <v>608</v>
      </c>
    </row>
    <row r="109" spans="1:5" s="250" customFormat="1" ht="43.5">
      <c r="A109" s="293" t="s">
        <v>427</v>
      </c>
      <c r="B109" s="368" t="s">
        <v>616</v>
      </c>
      <c r="C109" s="253"/>
      <c r="D109" s="300">
        <f>SUM(D110:D111)</f>
        <v>30000</v>
      </c>
      <c r="E109" s="192"/>
    </row>
    <row r="110" spans="1:5" s="250" customFormat="1" ht="30">
      <c r="A110" s="293"/>
      <c r="B110" s="262" t="s">
        <v>219</v>
      </c>
      <c r="C110" s="133" t="s">
        <v>209</v>
      </c>
      <c r="D110" s="261">
        <v>-20000</v>
      </c>
      <c r="E110" s="192" t="s">
        <v>607</v>
      </c>
    </row>
    <row r="111" spans="1:5" s="250" customFormat="1" ht="15">
      <c r="A111" s="293"/>
      <c r="B111" s="260" t="s">
        <v>220</v>
      </c>
      <c r="C111" s="263" t="s">
        <v>250</v>
      </c>
      <c r="D111" s="261">
        <v>50000</v>
      </c>
      <c r="E111" s="192" t="s">
        <v>637</v>
      </c>
    </row>
    <row r="112" spans="1:5" s="292" customFormat="1" ht="29.25">
      <c r="A112" s="293" t="s">
        <v>356</v>
      </c>
      <c r="B112" s="265" t="s">
        <v>141</v>
      </c>
      <c r="C112" s="133"/>
      <c r="D112" s="55">
        <f>SUM(D113+D116+D119+D122)</f>
        <v>38750</v>
      </c>
      <c r="E112" s="192"/>
    </row>
    <row r="113" spans="1:5" s="292" customFormat="1" ht="45">
      <c r="A113" s="269" t="s">
        <v>541</v>
      </c>
      <c r="B113" s="259" t="s">
        <v>540</v>
      </c>
      <c r="C113" s="133"/>
      <c r="D113" s="300">
        <f>SUM(D114:D115)</f>
        <v>1638</v>
      </c>
      <c r="E113" s="192" t="s">
        <v>542</v>
      </c>
    </row>
    <row r="114" spans="1:5" s="292" customFormat="1" ht="15">
      <c r="A114" s="269"/>
      <c r="B114" s="262" t="s">
        <v>219</v>
      </c>
      <c r="C114" s="133" t="s">
        <v>209</v>
      </c>
      <c r="D114" s="261">
        <v>101</v>
      </c>
      <c r="E114" s="192"/>
    </row>
    <row r="115" spans="1:5" s="292" customFormat="1" ht="15">
      <c r="A115" s="269"/>
      <c r="B115" s="260" t="s">
        <v>220</v>
      </c>
      <c r="C115" s="253" t="s">
        <v>214</v>
      </c>
      <c r="D115" s="261">
        <v>1537</v>
      </c>
      <c r="E115" s="192"/>
    </row>
    <row r="116" spans="1:5" s="250" customFormat="1" ht="45">
      <c r="A116" s="357" t="s">
        <v>643</v>
      </c>
      <c r="B116" s="259" t="s">
        <v>431</v>
      </c>
      <c r="C116" s="253"/>
      <c r="D116" s="268">
        <f>SUM(D117:D118)</f>
        <v>37629</v>
      </c>
      <c r="E116" s="192"/>
    </row>
    <row r="117" spans="1:5" s="250" customFormat="1" ht="15">
      <c r="A117" s="357"/>
      <c r="B117" s="262" t="s">
        <v>219</v>
      </c>
      <c r="C117" s="133" t="s">
        <v>209</v>
      </c>
      <c r="D117" s="38">
        <v>20350</v>
      </c>
      <c r="E117" s="478" t="s">
        <v>693</v>
      </c>
    </row>
    <row r="118" spans="1:5" s="250" customFormat="1" ht="30">
      <c r="A118" s="357"/>
      <c r="B118" s="260" t="s">
        <v>221</v>
      </c>
      <c r="C118" s="253" t="s">
        <v>358</v>
      </c>
      <c r="D118" s="38">
        <v>17279</v>
      </c>
      <c r="E118" s="478" t="s">
        <v>708</v>
      </c>
    </row>
    <row r="119" spans="1:5" s="250" customFormat="1" ht="75">
      <c r="A119" s="357" t="s">
        <v>459</v>
      </c>
      <c r="B119" s="259" t="s">
        <v>460</v>
      </c>
      <c r="C119" s="133"/>
      <c r="D119" s="268">
        <f>SUM(D120:D121)</f>
        <v>577</v>
      </c>
      <c r="E119" s="192" t="s">
        <v>684</v>
      </c>
    </row>
    <row r="120" spans="1:5" s="250" customFormat="1" ht="15">
      <c r="A120" s="357"/>
      <c r="B120" s="260" t="s">
        <v>19</v>
      </c>
      <c r="C120" s="253" t="s">
        <v>229</v>
      </c>
      <c r="D120" s="38">
        <v>487</v>
      </c>
      <c r="E120" s="285"/>
    </row>
    <row r="121" spans="1:5" s="250" customFormat="1" ht="15">
      <c r="A121" s="357"/>
      <c r="B121" s="260" t="s">
        <v>221</v>
      </c>
      <c r="C121" s="253" t="s">
        <v>358</v>
      </c>
      <c r="D121" s="38">
        <v>90</v>
      </c>
      <c r="E121" s="285"/>
    </row>
    <row r="122" spans="1:5" s="250" customFormat="1" ht="75">
      <c r="A122" s="369" t="s">
        <v>602</v>
      </c>
      <c r="B122" s="259" t="s">
        <v>466</v>
      </c>
      <c r="C122" s="253"/>
      <c r="D122" s="268">
        <f>SUM(D123:D124)</f>
        <v>-1094</v>
      </c>
      <c r="E122" s="285" t="s">
        <v>603</v>
      </c>
    </row>
    <row r="123" spans="1:5" s="250" customFormat="1" ht="15">
      <c r="A123" s="374"/>
      <c r="B123" s="260" t="s">
        <v>218</v>
      </c>
      <c r="C123" s="303" t="s">
        <v>208</v>
      </c>
      <c r="D123" s="38">
        <v>-2948</v>
      </c>
      <c r="E123" s="285"/>
    </row>
    <row r="124" spans="1:5" s="250" customFormat="1" ht="15">
      <c r="A124" s="357"/>
      <c r="B124" s="260" t="s">
        <v>220</v>
      </c>
      <c r="C124" s="253" t="s">
        <v>214</v>
      </c>
      <c r="D124" s="38">
        <v>1854</v>
      </c>
      <c r="E124" s="285"/>
    </row>
    <row r="125" spans="1:9" ht="15">
      <c r="A125" s="277" t="s">
        <v>142</v>
      </c>
      <c r="B125" s="275" t="s">
        <v>17</v>
      </c>
      <c r="C125" s="145" t="s">
        <v>142</v>
      </c>
      <c r="D125" s="54">
        <f>SUM(D126,D127,D128,D130,D134)</f>
        <v>22338</v>
      </c>
      <c r="E125" s="133"/>
      <c r="F125" s="489"/>
      <c r="G125" s="489"/>
      <c r="H125" s="489"/>
      <c r="I125" s="477"/>
    </row>
    <row r="126" spans="1:9" ht="15">
      <c r="A126" s="277"/>
      <c r="B126" s="259" t="s">
        <v>330</v>
      </c>
      <c r="C126" s="133" t="s">
        <v>389</v>
      </c>
      <c r="D126" s="268">
        <v>2392</v>
      </c>
      <c r="E126" s="133" t="s">
        <v>691</v>
      </c>
      <c r="F126" s="489"/>
      <c r="G126" s="489"/>
      <c r="H126" s="489"/>
      <c r="I126" s="477"/>
    </row>
    <row r="127" spans="1:9" ht="15">
      <c r="A127" s="277"/>
      <c r="B127" s="259"/>
      <c r="C127" s="253" t="s">
        <v>400</v>
      </c>
      <c r="D127" s="268">
        <v>-54</v>
      </c>
      <c r="E127" s="133"/>
      <c r="F127" s="489"/>
      <c r="G127" s="489"/>
      <c r="H127" s="489"/>
      <c r="I127" s="477"/>
    </row>
    <row r="128" spans="1:8" ht="15" hidden="1">
      <c r="A128" s="314" t="s">
        <v>465</v>
      </c>
      <c r="B128" s="259" t="s">
        <v>330</v>
      </c>
      <c r="C128" s="253"/>
      <c r="D128" s="268">
        <f>SUM(D129:D129)</f>
        <v>0</v>
      </c>
      <c r="E128" s="270"/>
      <c r="F128" s="490"/>
      <c r="G128" s="490"/>
      <c r="H128" s="490"/>
    </row>
    <row r="129" spans="1:5" ht="15" hidden="1">
      <c r="A129" s="314"/>
      <c r="B129" s="260" t="s">
        <v>219</v>
      </c>
      <c r="C129" s="263" t="s">
        <v>209</v>
      </c>
      <c r="D129" s="311"/>
      <c r="E129" s="263"/>
    </row>
    <row r="130" spans="1:5" ht="30">
      <c r="A130" s="267" t="s">
        <v>34</v>
      </c>
      <c r="B130" s="259" t="s">
        <v>331</v>
      </c>
      <c r="C130" s="253"/>
      <c r="D130" s="268">
        <f>SUM(D131:D133)</f>
        <v>0</v>
      </c>
      <c r="E130" s="192" t="s">
        <v>546</v>
      </c>
    </row>
    <row r="131" spans="1:5" ht="15">
      <c r="A131" s="288"/>
      <c r="B131" s="260" t="s">
        <v>378</v>
      </c>
      <c r="C131" s="253" t="s">
        <v>379</v>
      </c>
      <c r="D131" s="38">
        <v>-4320</v>
      </c>
      <c r="E131" s="115"/>
    </row>
    <row r="132" spans="1:5" ht="15">
      <c r="A132" s="288"/>
      <c r="B132" s="260" t="s">
        <v>545</v>
      </c>
      <c r="C132" s="449" t="s">
        <v>216</v>
      </c>
      <c r="D132" s="38">
        <v>-114000</v>
      </c>
      <c r="E132" s="115"/>
    </row>
    <row r="133" spans="1:5" ht="15">
      <c r="A133" s="288"/>
      <c r="B133" s="260" t="s">
        <v>481</v>
      </c>
      <c r="C133" s="449" t="s">
        <v>544</v>
      </c>
      <c r="D133" s="38">
        <v>118320</v>
      </c>
      <c r="E133" s="115"/>
    </row>
    <row r="134" spans="1:5" ht="45">
      <c r="A134" s="267" t="s">
        <v>613</v>
      </c>
      <c r="B134" s="259" t="s">
        <v>611</v>
      </c>
      <c r="C134" s="449"/>
      <c r="D134" s="268">
        <f>SUM(D135:D138)</f>
        <v>20000</v>
      </c>
      <c r="E134" s="115" t="s">
        <v>612</v>
      </c>
    </row>
    <row r="135" spans="1:5" ht="15">
      <c r="A135" s="288"/>
      <c r="B135" s="260" t="s">
        <v>19</v>
      </c>
      <c r="C135" s="253" t="s">
        <v>229</v>
      </c>
      <c r="D135" s="38">
        <v>10000</v>
      </c>
      <c r="E135" s="115"/>
    </row>
    <row r="136" spans="1:5" ht="15">
      <c r="A136" s="288"/>
      <c r="B136" s="260" t="s">
        <v>20</v>
      </c>
      <c r="C136" s="253" t="s">
        <v>8</v>
      </c>
      <c r="D136" s="38">
        <v>2359</v>
      </c>
      <c r="E136" s="115"/>
    </row>
    <row r="137" spans="1:5" ht="15">
      <c r="A137" s="288"/>
      <c r="B137" s="260" t="s">
        <v>219</v>
      </c>
      <c r="C137" s="253" t="s">
        <v>209</v>
      </c>
      <c r="D137" s="38">
        <v>3800</v>
      </c>
      <c r="E137" s="115"/>
    </row>
    <row r="138" spans="1:5" ht="15">
      <c r="A138" s="288"/>
      <c r="B138" s="260" t="s">
        <v>221</v>
      </c>
      <c r="C138" s="253" t="s">
        <v>358</v>
      </c>
      <c r="D138" s="38">
        <v>3841</v>
      </c>
      <c r="E138" s="115"/>
    </row>
    <row r="139" spans="1:5" ht="15">
      <c r="A139" s="253" t="s">
        <v>162</v>
      </c>
      <c r="B139" s="260"/>
      <c r="C139" s="253"/>
      <c r="D139" s="54">
        <v>3127</v>
      </c>
      <c r="E139" s="133"/>
    </row>
    <row r="140" spans="1:5" s="294" customFormat="1" ht="14.25">
      <c r="A140" s="277"/>
      <c r="B140" s="275"/>
      <c r="C140" s="277" t="s">
        <v>21</v>
      </c>
      <c r="D140" s="266">
        <f>D5+D11+D12+D25+D32+D57+D69+D125+D139</f>
        <v>1231282</v>
      </c>
      <c r="E140" s="54"/>
    </row>
    <row r="141" spans="1:4" ht="15">
      <c r="A141" s="216" t="s">
        <v>37</v>
      </c>
      <c r="B141" s="160" t="s">
        <v>206</v>
      </c>
      <c r="D141" s="295">
        <v>-13029</v>
      </c>
    </row>
    <row r="142" spans="1:4" ht="15">
      <c r="A142" s="302"/>
      <c r="B142" s="301"/>
      <c r="D142" s="295"/>
    </row>
    <row r="143" spans="1:5" ht="15">
      <c r="A143" s="90" t="s">
        <v>403</v>
      </c>
      <c r="B143" s="160"/>
      <c r="D143" s="391" t="s">
        <v>692</v>
      </c>
      <c r="E143" s="92"/>
    </row>
    <row r="144" ht="15">
      <c r="A144" s="90" t="s">
        <v>479</v>
      </c>
    </row>
    <row r="145" spans="1:4" ht="15">
      <c r="A145" s="90" t="s">
        <v>405</v>
      </c>
      <c r="D145" s="110">
        <v>15097</v>
      </c>
    </row>
    <row r="146" ht="15">
      <c r="D146" s="91">
        <f>Ieņēmumi!G17+Ieņēmumi!G18+Ieņēmumi!G19-Izdevumi!D140-Izdevumi!D141-Izdevumi!D143-Izdevumi!D144-Izdevumi!D145-'Fin. pagastu pārv.'!P12</f>
        <v>0</v>
      </c>
    </row>
    <row r="148" spans="1:4" ht="63">
      <c r="A148" s="499" t="s">
        <v>694</v>
      </c>
      <c r="B148" s="499"/>
      <c r="C148" s="499"/>
      <c r="D148" s="482" t="s">
        <v>697</v>
      </c>
    </row>
    <row r="149" spans="1:4" ht="27.75" customHeight="1">
      <c r="A149" s="501" t="s">
        <v>695</v>
      </c>
      <c r="B149" s="501"/>
      <c r="C149" s="501"/>
      <c r="D149" s="38">
        <v>-11290</v>
      </c>
    </row>
    <row r="150" spans="1:4" ht="30.75" customHeight="1">
      <c r="A150" s="501" t="s">
        <v>696</v>
      </c>
      <c r="B150" s="501"/>
      <c r="C150" s="501"/>
      <c r="D150" s="38">
        <v>-1739</v>
      </c>
    </row>
    <row r="151" spans="1:4" ht="15">
      <c r="A151" s="500" t="s">
        <v>232</v>
      </c>
      <c r="B151" s="500"/>
      <c r="C151" s="500"/>
      <c r="D151" s="278">
        <f>SUM(D149:D150)</f>
        <v>-13029</v>
      </c>
    </row>
    <row r="154" spans="1:5" ht="15">
      <c r="A154" s="90" t="s">
        <v>394</v>
      </c>
      <c r="B154" s="90"/>
      <c r="C154" s="91"/>
      <c r="E154" s="91" t="s">
        <v>38</v>
      </c>
    </row>
    <row r="155" spans="2:5" ht="15">
      <c r="B155" s="90"/>
      <c r="C155" s="91"/>
      <c r="E155" s="91"/>
    </row>
  </sheetData>
  <sheetProtection/>
  <mergeCells count="5">
    <mergeCell ref="A2:E2"/>
    <mergeCell ref="A148:C148"/>
    <mergeCell ref="A151:C151"/>
    <mergeCell ref="A149:C149"/>
    <mergeCell ref="A150:C150"/>
  </mergeCells>
  <printOptions/>
  <pageMargins left="0.45" right="0.17" top="0.69" bottom="0.52"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M19" sqref="M19"/>
    </sheetView>
  </sheetViews>
  <sheetFormatPr defaultColWidth="9.140625" defaultRowHeight="12.75"/>
  <cols>
    <col min="1" max="1" width="25.00390625" style="0" customWidth="1"/>
    <col min="2" max="2" width="9.8515625" style="0" customWidth="1"/>
    <col min="3" max="3" width="10.00390625" style="0" customWidth="1"/>
    <col min="4" max="4" width="10.57421875" style="0" customWidth="1"/>
    <col min="5" max="5" width="10.00390625" style="0" customWidth="1"/>
    <col min="6" max="6" width="10.28125" style="0" customWidth="1"/>
    <col min="7" max="7" width="10.00390625" style="0" customWidth="1"/>
    <col min="8" max="8" width="9.28125" style="0" customWidth="1"/>
    <col min="9" max="9" width="10.00390625" style="0" customWidth="1"/>
  </cols>
  <sheetData>
    <row r="1" spans="1:10" ht="12.75">
      <c r="A1" s="1"/>
      <c r="B1" s="1"/>
      <c r="C1" s="1"/>
      <c r="D1" s="1"/>
      <c r="E1" s="1"/>
      <c r="F1" t="s">
        <v>39</v>
      </c>
      <c r="G1" s="1"/>
      <c r="H1" s="1"/>
      <c r="I1" s="1"/>
      <c r="J1" s="1"/>
    </row>
    <row r="2" spans="1:10" ht="33" customHeight="1">
      <c r="A2" s="502" t="s">
        <v>535</v>
      </c>
      <c r="B2" s="502"/>
      <c r="C2" s="502"/>
      <c r="D2" s="502"/>
      <c r="E2" s="502"/>
      <c r="F2" s="502"/>
      <c r="G2" s="502"/>
      <c r="H2" s="502"/>
      <c r="I2" s="502"/>
      <c r="J2" s="502"/>
    </row>
    <row r="3" spans="1:10" ht="18">
      <c r="A3" s="3"/>
      <c r="B3" s="3"/>
      <c r="C3" s="3"/>
      <c r="D3" s="3"/>
      <c r="E3" s="3"/>
      <c r="F3" s="3"/>
      <c r="G3" s="3"/>
      <c r="H3" s="3"/>
      <c r="I3" s="3"/>
      <c r="J3" s="3"/>
    </row>
    <row r="4" spans="1:10" ht="15.75">
      <c r="A4" s="4" t="s">
        <v>536</v>
      </c>
      <c r="B4" s="4"/>
      <c r="C4" s="4"/>
      <c r="D4" s="4"/>
      <c r="E4" s="4"/>
      <c r="F4" s="4"/>
      <c r="G4" s="4"/>
      <c r="H4" s="4"/>
      <c r="I4" s="4"/>
      <c r="J4" s="1"/>
    </row>
    <row r="5" spans="1:10" ht="16.5" thickBot="1">
      <c r="A5" s="4"/>
      <c r="B5" s="4"/>
      <c r="C5" s="4"/>
      <c r="D5" s="4"/>
      <c r="E5" s="4"/>
      <c r="F5" s="4"/>
      <c r="G5" s="4"/>
      <c r="H5" s="4"/>
      <c r="I5" s="4"/>
      <c r="J5" s="1"/>
    </row>
    <row r="6" spans="1:10" ht="27" thickBot="1">
      <c r="A6" s="5"/>
      <c r="B6" s="53" t="s">
        <v>158</v>
      </c>
      <c r="C6" s="11" t="s">
        <v>159</v>
      </c>
      <c r="D6" s="53" t="s">
        <v>151</v>
      </c>
      <c r="E6" s="53" t="s">
        <v>348</v>
      </c>
      <c r="F6" s="53" t="s">
        <v>152</v>
      </c>
      <c r="G6" s="6" t="s">
        <v>153</v>
      </c>
      <c r="H6" s="52"/>
      <c r="I6" s="1"/>
      <c r="J6" s="28"/>
    </row>
    <row r="7" spans="1:10" ht="15">
      <c r="A7" s="7" t="s">
        <v>154</v>
      </c>
      <c r="B7" s="445">
        <v>961876</v>
      </c>
      <c r="C7" s="443">
        <v>440354</v>
      </c>
      <c r="D7" s="443">
        <v>490684</v>
      </c>
      <c r="E7" s="444">
        <v>520958</v>
      </c>
      <c r="F7" s="445">
        <v>150320</v>
      </c>
      <c r="G7" s="73">
        <f>SUM(B7:F7)</f>
        <v>2564192</v>
      </c>
      <c r="H7" s="9"/>
      <c r="I7" s="1"/>
      <c r="J7" s="26"/>
    </row>
    <row r="8" spans="1:7" ht="15.75" thickBot="1">
      <c r="A8" s="65" t="s">
        <v>155</v>
      </c>
      <c r="C8" s="224">
        <v>-5</v>
      </c>
      <c r="D8" s="66">
        <v>1</v>
      </c>
      <c r="E8" s="66">
        <v>-1</v>
      </c>
      <c r="F8" s="225">
        <v>-2</v>
      </c>
      <c r="G8" s="73">
        <f>SUM(B8:F8)</f>
        <v>-7</v>
      </c>
    </row>
    <row r="9" spans="1:9" ht="15.75" thickBot="1">
      <c r="A9" s="67" t="s">
        <v>156</v>
      </c>
      <c r="B9" s="249">
        <f>SUM(B7:B8)</f>
        <v>961876</v>
      </c>
      <c r="C9" s="249">
        <f>SUM(C7:C8)</f>
        <v>440349</v>
      </c>
      <c r="D9" s="249">
        <f>SUM(D7:D8)</f>
        <v>490685</v>
      </c>
      <c r="E9" s="249">
        <f>SUM(E7:E8)</f>
        <v>520957</v>
      </c>
      <c r="F9" s="249">
        <f>SUM(F7:F8)</f>
        <v>150318</v>
      </c>
      <c r="G9" s="68">
        <f>SUM(B9:F9)</f>
        <v>2564185</v>
      </c>
      <c r="H9" s="455"/>
      <c r="I9" s="51"/>
    </row>
    <row r="10" spans="1:11" ht="15">
      <c r="A10" s="2"/>
      <c r="B10" s="8"/>
      <c r="C10" s="59"/>
      <c r="D10" s="10"/>
      <c r="E10" s="10"/>
      <c r="F10" s="69"/>
      <c r="G10" s="9"/>
      <c r="H10" s="58"/>
      <c r="I10" s="1"/>
      <c r="K10" s="12"/>
    </row>
    <row r="11" spans="1:11" ht="15.75">
      <c r="A11" s="4" t="s">
        <v>537</v>
      </c>
      <c r="B11" s="327"/>
      <c r="C11" s="327"/>
      <c r="D11" s="327"/>
      <c r="E11" s="328"/>
      <c r="F11" s="327"/>
      <c r="G11" s="327"/>
      <c r="H11" s="327"/>
      <c r="I11" s="327"/>
      <c r="J11" s="1"/>
      <c r="K11" s="12"/>
    </row>
    <row r="12" spans="1:11" ht="16.5" thickBot="1">
      <c r="A12" s="4"/>
      <c r="B12" s="327"/>
      <c r="C12" s="327"/>
      <c r="D12" s="327"/>
      <c r="E12" s="328"/>
      <c r="F12" s="327"/>
      <c r="G12" s="327"/>
      <c r="H12" s="327"/>
      <c r="I12" s="327"/>
      <c r="J12" s="1"/>
      <c r="K12" s="12"/>
    </row>
    <row r="13" spans="1:11" ht="15.75" thickBot="1">
      <c r="A13" s="5" t="s">
        <v>24</v>
      </c>
      <c r="B13" s="11" t="s">
        <v>439</v>
      </c>
      <c r="C13" s="11" t="s">
        <v>440</v>
      </c>
      <c r="D13" s="11" t="s">
        <v>441</v>
      </c>
      <c r="E13" s="11" t="s">
        <v>442</v>
      </c>
      <c r="F13" s="11" t="s">
        <v>443</v>
      </c>
      <c r="G13" s="11" t="s">
        <v>444</v>
      </c>
      <c r="H13" s="11" t="s">
        <v>445</v>
      </c>
      <c r="I13" s="329" t="s">
        <v>446</v>
      </c>
      <c r="J13" s="330" t="s">
        <v>447</v>
      </c>
      <c r="K13" s="12"/>
    </row>
    <row r="14" spans="1:11" ht="15">
      <c r="A14" s="331" t="s">
        <v>154</v>
      </c>
      <c r="B14" s="442">
        <v>25334</v>
      </c>
      <c r="C14" s="442">
        <v>57772</v>
      </c>
      <c r="D14" s="443">
        <v>47580</v>
      </c>
      <c r="E14" s="443">
        <v>68854</v>
      </c>
      <c r="F14" s="443">
        <v>67166</v>
      </c>
      <c r="G14" s="443">
        <v>16356</v>
      </c>
      <c r="H14" s="443">
        <v>43478</v>
      </c>
      <c r="I14" s="345">
        <v>25952</v>
      </c>
      <c r="J14" s="332">
        <f>SUM(B14:I14)</f>
        <v>352492</v>
      </c>
      <c r="K14" s="12"/>
    </row>
    <row r="15" spans="1:11" ht="15.75" thickBot="1">
      <c r="A15" s="333" t="s">
        <v>155</v>
      </c>
      <c r="B15" s="334">
        <v>1</v>
      </c>
      <c r="C15" s="334"/>
      <c r="D15" s="334"/>
      <c r="E15" s="334">
        <v>-1</v>
      </c>
      <c r="F15" s="334"/>
      <c r="G15" s="334"/>
      <c r="H15" s="334"/>
      <c r="I15" s="334">
        <v>-1</v>
      </c>
      <c r="J15" s="335">
        <f>SUM(B15:I15)</f>
        <v>-1</v>
      </c>
      <c r="K15" s="12"/>
    </row>
    <row r="16" spans="1:12" ht="15.75" thickBot="1">
      <c r="A16" s="336" t="s">
        <v>448</v>
      </c>
      <c r="B16" s="337">
        <f aca="true" t="shared" si="0" ref="B16:I16">SUM(B14:B15)</f>
        <v>25335</v>
      </c>
      <c r="C16" s="337">
        <f t="shared" si="0"/>
        <v>57772</v>
      </c>
      <c r="D16" s="337">
        <f t="shared" si="0"/>
        <v>47580</v>
      </c>
      <c r="E16" s="337">
        <f t="shared" si="0"/>
        <v>68853</v>
      </c>
      <c r="F16" s="337">
        <f t="shared" si="0"/>
        <v>67166</v>
      </c>
      <c r="G16" s="337">
        <f t="shared" si="0"/>
        <v>16356</v>
      </c>
      <c r="H16" s="337">
        <f t="shared" si="0"/>
        <v>43478</v>
      </c>
      <c r="I16" s="337">
        <f t="shared" si="0"/>
        <v>25951</v>
      </c>
      <c r="J16" s="68">
        <f>SUM(B16:I16)</f>
        <v>352491</v>
      </c>
      <c r="K16" s="455"/>
      <c r="L16" s="51"/>
    </row>
    <row r="17" spans="1:10" ht="15">
      <c r="A17" s="338"/>
      <c r="B17" s="10"/>
      <c r="C17" s="10"/>
      <c r="D17" s="10"/>
      <c r="E17" s="10"/>
      <c r="F17" s="10"/>
      <c r="G17" s="10"/>
      <c r="H17" s="10"/>
      <c r="I17" s="10"/>
      <c r="J17" s="9"/>
    </row>
    <row r="18" spans="1:10" ht="15.75">
      <c r="A18" s="4" t="s">
        <v>538</v>
      </c>
      <c r="B18" s="4"/>
      <c r="C18" s="4"/>
      <c r="D18" s="4"/>
      <c r="E18" s="4"/>
      <c r="F18" s="4"/>
      <c r="G18" s="4"/>
      <c r="H18" s="4"/>
      <c r="I18" s="4"/>
      <c r="J18" s="1"/>
    </row>
    <row r="19" spans="1:10" ht="16.5" thickBot="1">
      <c r="A19" s="4"/>
      <c r="B19" s="4"/>
      <c r="C19" s="4"/>
      <c r="D19" s="4"/>
      <c r="E19" s="4"/>
      <c r="F19" s="4"/>
      <c r="G19" s="4"/>
      <c r="H19" s="4"/>
      <c r="I19" s="4"/>
      <c r="J19" s="1"/>
    </row>
    <row r="20" spans="1:11" ht="29.25" customHeight="1" thickBot="1">
      <c r="A20" s="5"/>
      <c r="B20" s="339" t="s">
        <v>449</v>
      </c>
      <c r="C20" s="339" t="s">
        <v>450</v>
      </c>
      <c r="D20" s="340" t="s">
        <v>151</v>
      </c>
      <c r="E20" s="53" t="s">
        <v>348</v>
      </c>
      <c r="F20" s="341" t="s">
        <v>152</v>
      </c>
      <c r="G20" s="342" t="s">
        <v>18</v>
      </c>
      <c r="H20" s="341" t="s">
        <v>157</v>
      </c>
      <c r="I20" s="341" t="s">
        <v>451</v>
      </c>
      <c r="J20" s="330" t="s">
        <v>153</v>
      </c>
      <c r="K20" s="343"/>
    </row>
    <row r="21" spans="1:10" ht="15">
      <c r="A21" s="7" t="s">
        <v>452</v>
      </c>
      <c r="B21" s="441">
        <v>28480</v>
      </c>
      <c r="C21" s="443">
        <v>18464</v>
      </c>
      <c r="D21" s="442">
        <v>9754</v>
      </c>
      <c r="E21" s="443">
        <v>20072</v>
      </c>
      <c r="F21" s="345">
        <v>5864</v>
      </c>
      <c r="G21" s="345"/>
      <c r="H21" s="344"/>
      <c r="I21" s="345">
        <v>49128</v>
      </c>
      <c r="J21" s="332">
        <f>SUM(B21:I21)</f>
        <v>131762</v>
      </c>
    </row>
    <row r="22" spans="1:11" ht="15.75" thickBot="1">
      <c r="A22" s="346" t="s">
        <v>155</v>
      </c>
      <c r="B22" s="347">
        <v>-5</v>
      </c>
      <c r="C22" s="347">
        <v>1706</v>
      </c>
      <c r="D22" s="347">
        <v>472</v>
      </c>
      <c r="E22" s="347">
        <v>9</v>
      </c>
      <c r="F22" s="347">
        <v>227</v>
      </c>
      <c r="G22" s="347"/>
      <c r="H22" s="347"/>
      <c r="I22" s="347">
        <v>1</v>
      </c>
      <c r="J22" s="348">
        <f>SUM(B22:I22)</f>
        <v>2410</v>
      </c>
      <c r="K22" s="349"/>
    </row>
    <row r="23" spans="1:10" ht="15.75" thickBot="1">
      <c r="A23" s="350" t="s">
        <v>453</v>
      </c>
      <c r="B23" s="351">
        <f aca="true" t="shared" si="1" ref="B23:H23">SUM(B21:B22)</f>
        <v>28475</v>
      </c>
      <c r="C23" s="351">
        <f t="shared" si="1"/>
        <v>20170</v>
      </c>
      <c r="D23" s="351">
        <f t="shared" si="1"/>
        <v>10226</v>
      </c>
      <c r="E23" s="351">
        <f t="shared" si="1"/>
        <v>20081</v>
      </c>
      <c r="F23" s="351">
        <f t="shared" si="1"/>
        <v>6091</v>
      </c>
      <c r="G23" s="351">
        <f t="shared" si="1"/>
        <v>0</v>
      </c>
      <c r="H23" s="351">
        <f t="shared" si="1"/>
        <v>0</v>
      </c>
      <c r="I23" s="351">
        <f>SUM(I21:I22)</f>
        <v>49129</v>
      </c>
      <c r="J23" s="352">
        <f>SUM(B23:I23)</f>
        <v>134172</v>
      </c>
    </row>
    <row r="24" spans="1:12" ht="15">
      <c r="A24" s="2"/>
      <c r="B24" s="8"/>
      <c r="C24" s="8"/>
      <c r="D24" s="8"/>
      <c r="E24" s="8"/>
      <c r="F24" s="8"/>
      <c r="G24" s="8"/>
      <c r="H24" s="8"/>
      <c r="I24" s="8"/>
      <c r="J24" s="8"/>
      <c r="K24" s="9"/>
      <c r="L24" s="353"/>
    </row>
    <row r="25" spans="1:10" ht="15.75">
      <c r="A25" s="4" t="s">
        <v>539</v>
      </c>
      <c r="B25" s="4"/>
      <c r="C25" s="4"/>
      <c r="D25" s="4"/>
      <c r="E25" s="4"/>
      <c r="F25" s="4"/>
      <c r="G25" s="4"/>
      <c r="H25" s="4"/>
      <c r="I25" s="4"/>
      <c r="J25" s="1"/>
    </row>
    <row r="26" spans="1:10" ht="16.5" thickBot="1">
      <c r="A26" s="4"/>
      <c r="B26" s="4"/>
      <c r="C26" s="4"/>
      <c r="D26" s="4"/>
      <c r="E26" s="4"/>
      <c r="F26" s="4"/>
      <c r="G26" s="4"/>
      <c r="H26" s="4"/>
      <c r="I26" s="4"/>
      <c r="J26" s="1"/>
    </row>
    <row r="27" spans="1:10" ht="29.25" customHeight="1" thickBot="1">
      <c r="A27" s="5"/>
      <c r="B27" s="341" t="s">
        <v>18</v>
      </c>
      <c r="C27" s="341" t="s">
        <v>157</v>
      </c>
      <c r="D27" s="341" t="s">
        <v>454</v>
      </c>
      <c r="E27" s="341" t="s">
        <v>139</v>
      </c>
      <c r="F27" s="330" t="s">
        <v>153</v>
      </c>
      <c r="G27" s="1"/>
      <c r="H27" s="1"/>
      <c r="I27" s="1"/>
      <c r="J27" s="1"/>
    </row>
    <row r="28" spans="1:10" ht="15">
      <c r="A28" s="7" t="s">
        <v>452</v>
      </c>
      <c r="B28" s="295">
        <v>198639</v>
      </c>
      <c r="C28" s="447">
        <v>117249</v>
      </c>
      <c r="D28" s="446">
        <v>368794</v>
      </c>
      <c r="E28" s="446">
        <v>94139</v>
      </c>
      <c r="F28" s="332">
        <f>SUM(B28:E28)</f>
        <v>778821</v>
      </c>
      <c r="G28" s="1"/>
      <c r="H28" s="1"/>
      <c r="I28" s="1"/>
      <c r="J28" s="1"/>
    </row>
    <row r="29" spans="1:10" ht="15.75" thickBot="1">
      <c r="A29" s="65" t="s">
        <v>155</v>
      </c>
      <c r="B29" s="354">
        <v>453</v>
      </c>
      <c r="C29" s="354">
        <v>272</v>
      </c>
      <c r="D29" s="224"/>
      <c r="E29" s="355"/>
      <c r="F29" s="335">
        <f>SUM(B29:E29)</f>
        <v>725</v>
      </c>
      <c r="G29" s="1"/>
      <c r="H29" s="1"/>
      <c r="I29" s="1"/>
      <c r="J29" s="1"/>
    </row>
    <row r="30" spans="1:10" ht="15.75" thickBot="1">
      <c r="A30" s="67" t="s">
        <v>453</v>
      </c>
      <c r="B30" s="249">
        <f>SUM(B28:B29)</f>
        <v>199092</v>
      </c>
      <c r="C30" s="249">
        <f>SUM(C28:C29)</f>
        <v>117521</v>
      </c>
      <c r="D30" s="249">
        <f>SUM(D28:D29)</f>
        <v>368794</v>
      </c>
      <c r="E30" s="249">
        <f>SUM(E28:E29)</f>
        <v>94139</v>
      </c>
      <c r="F30" s="68">
        <f>SUM(B30:E30)</f>
        <v>779546</v>
      </c>
      <c r="G30" s="1"/>
      <c r="H30" s="1"/>
      <c r="I30" s="1"/>
      <c r="J30" s="1"/>
    </row>
    <row r="31" spans="1:10" ht="15">
      <c r="A31" s="2"/>
      <c r="B31" s="8"/>
      <c r="C31" s="8"/>
      <c r="D31" s="8"/>
      <c r="E31" s="8"/>
      <c r="F31" s="9"/>
      <c r="G31" s="1"/>
      <c r="H31" s="1"/>
      <c r="I31" s="1"/>
      <c r="J31" s="1"/>
    </row>
    <row r="32" spans="1:10" ht="15">
      <c r="A32" s="2"/>
      <c r="B32" s="8"/>
      <c r="C32" s="8"/>
      <c r="D32" s="8"/>
      <c r="E32" s="8"/>
      <c r="F32" s="9"/>
      <c r="G32" s="1"/>
      <c r="H32" s="1"/>
      <c r="I32" s="1"/>
      <c r="J32" s="1"/>
    </row>
    <row r="33" spans="1:10" ht="15">
      <c r="A33" s="2"/>
      <c r="B33" s="8"/>
      <c r="C33" s="8"/>
      <c r="D33" s="8"/>
      <c r="E33" s="8"/>
      <c r="F33" s="9"/>
      <c r="G33" s="1"/>
      <c r="H33" s="1"/>
      <c r="I33" s="1"/>
      <c r="J33" s="1"/>
    </row>
    <row r="34" spans="1:10" ht="15">
      <c r="A34" s="2"/>
      <c r="B34" s="8"/>
      <c r="C34" s="8"/>
      <c r="D34" s="8"/>
      <c r="E34" s="8"/>
      <c r="F34" s="9"/>
      <c r="G34" s="1"/>
      <c r="H34" s="1"/>
      <c r="I34" s="1"/>
      <c r="J34" s="1"/>
    </row>
    <row r="35" spans="1:10" ht="12.75">
      <c r="A35" s="2"/>
      <c r="B35" s="1" t="s">
        <v>394</v>
      </c>
      <c r="C35" s="1"/>
      <c r="D35" s="1"/>
      <c r="E35" s="1"/>
      <c r="F35" s="1"/>
      <c r="G35" s="1"/>
      <c r="H35" s="1" t="s">
        <v>38</v>
      </c>
      <c r="I35" s="1"/>
      <c r="J35" s="1"/>
    </row>
  </sheetData>
  <sheetProtection/>
  <mergeCells count="1">
    <mergeCell ref="A2:J2"/>
  </mergeCells>
  <printOptions/>
  <pageMargins left="0.7480314960629921" right="0.7480314960629921" top="0.5905511811023623" bottom="0.5905511811023623"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Q32"/>
  <sheetViews>
    <sheetView zoomScalePageLayoutView="0" workbookViewId="0" topLeftCell="A1">
      <pane xSplit="1" ySplit="2" topLeftCell="B3" activePane="bottomRight" state="frozen"/>
      <selection pane="topLeft" activeCell="J8" sqref="J8"/>
      <selection pane="topRight" activeCell="J8" sqref="J8"/>
      <selection pane="bottomLeft" activeCell="J8" sqref="J8"/>
      <selection pane="bottomRight" activeCell="M22" sqref="M22"/>
    </sheetView>
  </sheetViews>
  <sheetFormatPr defaultColWidth="9.140625" defaultRowHeight="12.75" outlineLevelRow="1"/>
  <cols>
    <col min="1" max="1" width="44.28125" style="0" customWidth="1"/>
    <col min="2" max="2" width="11.28125" style="0" customWidth="1"/>
    <col min="3" max="3" width="10.8515625" style="0" customWidth="1"/>
    <col min="4" max="4" width="8.7109375" style="0" customWidth="1"/>
    <col min="5" max="5" width="9.140625" style="0" customWidth="1"/>
    <col min="6" max="6" width="9.8515625" style="0" customWidth="1"/>
    <col min="7" max="7" width="9.28125" style="0" customWidth="1"/>
    <col min="8" max="8" width="8.28125" style="0" customWidth="1"/>
    <col min="9" max="9" width="9.00390625" style="0" customWidth="1"/>
    <col min="10" max="10" width="10.00390625" style="0" customWidth="1"/>
    <col min="11" max="11" width="9.28125" style="0" customWidth="1"/>
    <col min="13" max="13" width="9.421875" style="0" customWidth="1"/>
    <col min="14" max="14" width="9.28125" style="0" customWidth="1"/>
    <col min="15" max="15" width="10.57421875" style="0" bestFit="1" customWidth="1"/>
    <col min="16" max="16" width="7.421875" style="32" customWidth="1"/>
    <col min="17" max="17" width="9.421875" style="0" customWidth="1"/>
  </cols>
  <sheetData>
    <row r="1" spans="1:14" ht="12.75">
      <c r="A1" s="51" t="s">
        <v>610</v>
      </c>
      <c r="K1" s="389"/>
      <c r="M1" s="389"/>
      <c r="N1" s="389"/>
    </row>
    <row r="2" spans="1:17" ht="95.25" customHeight="1">
      <c r="A2" s="33"/>
      <c r="B2" s="34" t="s">
        <v>230</v>
      </c>
      <c r="C2" s="34" t="s">
        <v>345</v>
      </c>
      <c r="D2" s="34" t="s">
        <v>346</v>
      </c>
      <c r="E2" s="34" t="s">
        <v>347</v>
      </c>
      <c r="F2" s="34" t="s">
        <v>344</v>
      </c>
      <c r="G2" s="34" t="s">
        <v>246</v>
      </c>
      <c r="H2" s="84" t="s">
        <v>367</v>
      </c>
      <c r="I2" s="84" t="s">
        <v>384</v>
      </c>
      <c r="J2" s="390" t="s">
        <v>0</v>
      </c>
      <c r="K2" s="35" t="s">
        <v>399</v>
      </c>
      <c r="L2" s="34" t="s">
        <v>404</v>
      </c>
      <c r="M2" s="457" t="s">
        <v>480</v>
      </c>
      <c r="N2" s="36" t="s">
        <v>471</v>
      </c>
      <c r="O2" s="83" t="s">
        <v>231</v>
      </c>
      <c r="P2" s="37" t="s">
        <v>232</v>
      </c>
      <c r="Q2" s="57"/>
    </row>
    <row r="3" spans="1:17" ht="15">
      <c r="A3" s="38" t="s">
        <v>233</v>
      </c>
      <c r="B3" s="38">
        <f>B20</f>
        <v>0</v>
      </c>
      <c r="C3" s="33"/>
      <c r="D3" s="33"/>
      <c r="E3" s="38"/>
      <c r="F3" s="38"/>
      <c r="G3" s="38"/>
      <c r="H3" s="38"/>
      <c r="I3" s="38"/>
      <c r="J3" s="113"/>
      <c r="K3" s="39"/>
      <c r="L3" s="40"/>
      <c r="M3" s="456"/>
      <c r="N3" s="44"/>
      <c r="O3" s="40"/>
      <c r="P3" s="41">
        <f aca="true" t="shared" si="0" ref="P3:P12">SUM(B3:O3)</f>
        <v>0</v>
      </c>
      <c r="Q3" s="42"/>
    </row>
    <row r="4" spans="1:17" ht="15">
      <c r="A4" s="38" t="s">
        <v>234</v>
      </c>
      <c r="B4" s="251">
        <f>C20-N4</f>
        <v>4212</v>
      </c>
      <c r="C4" s="23">
        <v>3</v>
      </c>
      <c r="D4" s="33">
        <v>346</v>
      </c>
      <c r="E4" s="38"/>
      <c r="F4" s="38">
        <v>1452</v>
      </c>
      <c r="G4" s="38">
        <v>1000</v>
      </c>
      <c r="H4" s="38">
        <v>872</v>
      </c>
      <c r="I4" s="38">
        <v>227</v>
      </c>
      <c r="J4" s="38"/>
      <c r="K4" s="39"/>
      <c r="L4" s="43"/>
      <c r="M4" s="309"/>
      <c r="N4" s="45"/>
      <c r="O4" s="40"/>
      <c r="P4" s="41">
        <f t="shared" si="0"/>
        <v>8112</v>
      </c>
      <c r="Q4" s="42"/>
    </row>
    <row r="5" spans="1:17" ht="15">
      <c r="A5" s="38" t="s">
        <v>235</v>
      </c>
      <c r="B5" s="309">
        <f>D20</f>
        <v>0</v>
      </c>
      <c r="C5" s="43"/>
      <c r="D5" s="33"/>
      <c r="E5" s="38"/>
      <c r="F5" s="38">
        <v>1815</v>
      </c>
      <c r="G5" s="38"/>
      <c r="H5" s="38"/>
      <c r="I5" s="38"/>
      <c r="J5" s="38"/>
      <c r="K5" s="64"/>
      <c r="L5" s="45"/>
      <c r="M5" s="251"/>
      <c r="N5" s="45"/>
      <c r="O5" s="45"/>
      <c r="P5" s="41">
        <f t="shared" si="0"/>
        <v>1815</v>
      </c>
      <c r="Q5" s="42"/>
    </row>
    <row r="6" spans="1:17" ht="15">
      <c r="A6" s="243" t="s">
        <v>236</v>
      </c>
      <c r="B6" s="251">
        <f>F20</f>
        <v>0</v>
      </c>
      <c r="C6" s="23">
        <v>3</v>
      </c>
      <c r="D6" s="383">
        <v>-2</v>
      </c>
      <c r="E6" s="243">
        <v>2</v>
      </c>
      <c r="F6" s="38">
        <v>1815</v>
      </c>
      <c r="G6" s="38">
        <v>2200</v>
      </c>
      <c r="H6" s="38">
        <v>2017</v>
      </c>
      <c r="I6" s="38">
        <f>643+76</f>
        <v>719</v>
      </c>
      <c r="J6" s="38"/>
      <c r="K6" s="64"/>
      <c r="L6" s="40"/>
      <c r="M6" s="309"/>
      <c r="N6" s="40"/>
      <c r="O6" s="40"/>
      <c r="P6" s="41">
        <f t="shared" si="0"/>
        <v>6754</v>
      </c>
      <c r="Q6" s="42"/>
    </row>
    <row r="7" spans="1:17" ht="15">
      <c r="A7" s="38" t="s">
        <v>237</v>
      </c>
      <c r="B7" s="38">
        <f>G20</f>
        <v>0</v>
      </c>
      <c r="C7" s="43"/>
      <c r="D7" s="33"/>
      <c r="E7" s="38"/>
      <c r="F7" s="38"/>
      <c r="G7" s="38"/>
      <c r="H7" s="38"/>
      <c r="I7" s="38"/>
      <c r="J7" s="38"/>
      <c r="K7" s="39"/>
      <c r="L7" s="40"/>
      <c r="M7" s="309"/>
      <c r="N7" s="40"/>
      <c r="O7" s="40"/>
      <c r="P7" s="41">
        <f t="shared" si="0"/>
        <v>0</v>
      </c>
      <c r="Q7" s="42"/>
    </row>
    <row r="8" spans="1:17" ht="15">
      <c r="A8" s="38" t="s">
        <v>238</v>
      </c>
      <c r="B8" s="38">
        <f>E20</f>
        <v>0</v>
      </c>
      <c r="C8" s="43"/>
      <c r="D8" s="33"/>
      <c r="E8" s="38"/>
      <c r="F8" s="38">
        <v>726</v>
      </c>
      <c r="G8" s="38"/>
      <c r="H8" s="38"/>
      <c r="I8" s="38"/>
      <c r="J8" s="38"/>
      <c r="K8" s="64"/>
      <c r="L8" s="45"/>
      <c r="M8" s="251"/>
      <c r="N8" s="45"/>
      <c r="O8" s="23"/>
      <c r="P8" s="41">
        <f t="shared" si="0"/>
        <v>726</v>
      </c>
      <c r="Q8" s="42"/>
    </row>
    <row r="9" spans="1:17" ht="15">
      <c r="A9" s="38" t="s">
        <v>239</v>
      </c>
      <c r="B9" s="38">
        <f>H20-M9-N9</f>
        <v>200</v>
      </c>
      <c r="C9" s="43"/>
      <c r="D9" s="33">
        <v>1</v>
      </c>
      <c r="E9" s="38">
        <v>-1</v>
      </c>
      <c r="F9" s="38">
        <v>3267</v>
      </c>
      <c r="G9" s="38">
        <v>4241</v>
      </c>
      <c r="H9" s="38">
        <v>600</v>
      </c>
      <c r="I9" s="38">
        <v>775</v>
      </c>
      <c r="J9" s="370"/>
      <c r="K9" s="39"/>
      <c r="L9" s="38">
        <v>968</v>
      </c>
      <c r="M9" s="309">
        <v>15000</v>
      </c>
      <c r="N9" s="471">
        <f>H18</f>
        <v>15000</v>
      </c>
      <c r="O9" s="40"/>
      <c r="P9" s="41">
        <f t="shared" si="0"/>
        <v>40051</v>
      </c>
      <c r="Q9" s="42"/>
    </row>
    <row r="10" spans="1:17" ht="15">
      <c r="A10" s="38" t="s">
        <v>395</v>
      </c>
      <c r="B10" s="38">
        <v>0</v>
      </c>
      <c r="C10" s="43"/>
      <c r="D10" s="33"/>
      <c r="E10" s="38"/>
      <c r="F10" s="38"/>
      <c r="G10" s="38"/>
      <c r="H10" s="38"/>
      <c r="I10" s="38"/>
      <c r="J10" s="38"/>
      <c r="K10" s="39"/>
      <c r="L10" s="38"/>
      <c r="M10" s="43"/>
      <c r="N10" s="471"/>
      <c r="O10" s="40"/>
      <c r="P10" s="41">
        <f t="shared" si="0"/>
        <v>0</v>
      </c>
      <c r="Q10" s="42"/>
    </row>
    <row r="11" spans="1:17" ht="15">
      <c r="A11" s="38" t="s">
        <v>240</v>
      </c>
      <c r="B11" s="38">
        <f>I20</f>
        <v>0</v>
      </c>
      <c r="C11" s="23">
        <v>2</v>
      </c>
      <c r="D11" s="33">
        <v>3</v>
      </c>
      <c r="E11" s="38"/>
      <c r="F11" s="38">
        <v>726</v>
      </c>
      <c r="G11" s="38">
        <v>910</v>
      </c>
      <c r="H11" s="38">
        <v>1170</v>
      </c>
      <c r="I11" s="38">
        <v>530</v>
      </c>
      <c r="J11" s="38"/>
      <c r="K11" s="40"/>
      <c r="L11" s="40"/>
      <c r="M11" s="309"/>
      <c r="N11" s="45"/>
      <c r="O11" s="45"/>
      <c r="P11" s="41">
        <f t="shared" si="0"/>
        <v>3341</v>
      </c>
      <c r="Q11" s="42"/>
    </row>
    <row r="12" spans="1:17" ht="12.75">
      <c r="A12" s="33" t="s">
        <v>241</v>
      </c>
      <c r="B12" s="46">
        <f>SUM(B3:B11)</f>
        <v>4412</v>
      </c>
      <c r="C12" s="46">
        <f aca="true" t="shared" si="1" ref="C12:O12">SUM(C3:C11)</f>
        <v>8</v>
      </c>
      <c r="D12" s="46">
        <f t="shared" si="1"/>
        <v>348</v>
      </c>
      <c r="E12" s="46">
        <f t="shared" si="1"/>
        <v>1</v>
      </c>
      <c r="F12" s="46">
        <f t="shared" si="1"/>
        <v>9801</v>
      </c>
      <c r="G12" s="46">
        <f>SUM(G3:G11)</f>
        <v>8351</v>
      </c>
      <c r="H12" s="46">
        <f>SUM(H3:H11)</f>
        <v>4659</v>
      </c>
      <c r="I12" s="46">
        <f>SUM(I3:I11)</f>
        <v>2251</v>
      </c>
      <c r="J12" s="46">
        <f t="shared" si="1"/>
        <v>0</v>
      </c>
      <c r="K12" s="46">
        <f t="shared" si="1"/>
        <v>0</v>
      </c>
      <c r="L12" s="46">
        <f t="shared" si="1"/>
        <v>968</v>
      </c>
      <c r="M12" s="46">
        <f t="shared" si="1"/>
        <v>15000</v>
      </c>
      <c r="N12" s="46">
        <f t="shared" si="1"/>
        <v>15000</v>
      </c>
      <c r="O12" s="46">
        <f t="shared" si="1"/>
        <v>0</v>
      </c>
      <c r="P12" s="41">
        <f t="shared" si="0"/>
        <v>60799</v>
      </c>
      <c r="Q12" s="42"/>
    </row>
    <row r="13" ht="12.75">
      <c r="A13" t="s">
        <v>242</v>
      </c>
    </row>
    <row r="14" spans="1:16" ht="30">
      <c r="A14" s="48" t="s">
        <v>353</v>
      </c>
      <c r="B14" s="48" t="s">
        <v>233</v>
      </c>
      <c r="C14" s="48" t="s">
        <v>234</v>
      </c>
      <c r="D14" s="48" t="s">
        <v>235</v>
      </c>
      <c r="E14" s="48" t="s">
        <v>238</v>
      </c>
      <c r="F14" s="48" t="s">
        <v>236</v>
      </c>
      <c r="G14" s="48" t="s">
        <v>237</v>
      </c>
      <c r="H14" s="48" t="s">
        <v>239</v>
      </c>
      <c r="I14" s="48" t="s">
        <v>240</v>
      </c>
      <c r="J14" s="48" t="s">
        <v>390</v>
      </c>
      <c r="L14" s="61"/>
      <c r="M14" s="50"/>
      <c r="P14"/>
    </row>
    <row r="15" spans="1:16" ht="15">
      <c r="A15" s="192" t="s">
        <v>615</v>
      </c>
      <c r="B15" s="48"/>
      <c r="C15" s="48"/>
      <c r="D15" s="48"/>
      <c r="E15" s="48"/>
      <c r="F15" s="48"/>
      <c r="G15" s="48"/>
      <c r="H15" s="48">
        <v>200</v>
      </c>
      <c r="I15" s="48"/>
      <c r="J15" s="48"/>
      <c r="L15" s="50"/>
      <c r="M15" s="50"/>
      <c r="P15"/>
    </row>
    <row r="16" spans="1:16" ht="15">
      <c r="A16" s="192" t="s">
        <v>698</v>
      </c>
      <c r="B16" s="48"/>
      <c r="C16" s="48"/>
      <c r="D16" s="48"/>
      <c r="E16" s="48"/>
      <c r="F16" s="48"/>
      <c r="G16" s="48"/>
      <c r="H16" s="48">
        <v>15000</v>
      </c>
      <c r="I16" s="48"/>
      <c r="J16" s="48"/>
      <c r="L16" s="50"/>
      <c r="M16" s="50"/>
      <c r="P16"/>
    </row>
    <row r="17" spans="1:16" ht="15">
      <c r="A17" s="479" t="s">
        <v>628</v>
      </c>
      <c r="B17" s="48"/>
      <c r="C17" s="48">
        <v>4212</v>
      </c>
      <c r="D17" s="48"/>
      <c r="E17" s="48"/>
      <c r="F17" s="48"/>
      <c r="G17" s="48"/>
      <c r="H17" s="48"/>
      <c r="I17" s="48"/>
      <c r="J17" s="48"/>
      <c r="L17" s="50"/>
      <c r="M17" s="50"/>
      <c r="P17"/>
    </row>
    <row r="18" spans="1:16" ht="30">
      <c r="A18" s="479" t="s">
        <v>687</v>
      </c>
      <c r="B18" s="48"/>
      <c r="C18" s="48"/>
      <c r="D18" s="48"/>
      <c r="E18" s="48"/>
      <c r="F18" s="48"/>
      <c r="G18" s="48"/>
      <c r="H18" s="48">
        <v>15000</v>
      </c>
      <c r="I18" s="48"/>
      <c r="J18" s="48"/>
      <c r="L18" s="50"/>
      <c r="M18" s="50"/>
      <c r="P18"/>
    </row>
    <row r="19" spans="1:16" ht="30" outlineLevel="1">
      <c r="A19" s="48" t="s">
        <v>635</v>
      </c>
      <c r="B19" s="38"/>
      <c r="C19" s="38"/>
      <c r="D19" s="38"/>
      <c r="E19" s="38"/>
      <c r="F19" s="38"/>
      <c r="G19" s="371"/>
      <c r="H19" s="310"/>
      <c r="I19" s="38"/>
      <c r="J19" s="38">
        <v>24133</v>
      </c>
      <c r="L19" s="47"/>
      <c r="M19" s="50"/>
      <c r="P19"/>
    </row>
    <row r="20" spans="1:16" ht="15">
      <c r="A20" s="55" t="s">
        <v>232</v>
      </c>
      <c r="B20" s="54">
        <f aca="true" t="shared" si="2" ref="B20:J20">SUM(B15:B19)</f>
        <v>0</v>
      </c>
      <c r="C20" s="54">
        <f t="shared" si="2"/>
        <v>4212</v>
      </c>
      <c r="D20" s="54">
        <f t="shared" si="2"/>
        <v>0</v>
      </c>
      <c r="E20" s="54">
        <f t="shared" si="2"/>
        <v>0</v>
      </c>
      <c r="F20" s="54">
        <f t="shared" si="2"/>
        <v>0</v>
      </c>
      <c r="G20" s="54">
        <f t="shared" si="2"/>
        <v>0</v>
      </c>
      <c r="H20" s="54">
        <f t="shared" si="2"/>
        <v>30200</v>
      </c>
      <c r="I20" s="54">
        <f t="shared" si="2"/>
        <v>0</v>
      </c>
      <c r="J20" s="54">
        <f t="shared" si="2"/>
        <v>24133</v>
      </c>
      <c r="L20" s="47"/>
      <c r="M20" s="50"/>
      <c r="P20"/>
    </row>
    <row r="21" ht="15">
      <c r="F21" s="74"/>
    </row>
    <row r="22" spans="1:13" ht="15">
      <c r="A22" s="61"/>
      <c r="G22" t="s">
        <v>357</v>
      </c>
      <c r="M22" s="56"/>
    </row>
    <row r="25" ht="12.75">
      <c r="N25" s="71"/>
    </row>
    <row r="26" ht="12.75">
      <c r="N26" s="71"/>
    </row>
    <row r="27" ht="12.75">
      <c r="N27" s="71"/>
    </row>
    <row r="28" ht="12.75">
      <c r="N28" s="71"/>
    </row>
    <row r="29" ht="12.75">
      <c r="N29" s="71"/>
    </row>
    <row r="30" ht="12.75">
      <c r="N30" s="71"/>
    </row>
    <row r="31" ht="12.75">
      <c r="N31" s="71"/>
    </row>
    <row r="32" ht="12.75">
      <c r="N32" s="71"/>
    </row>
  </sheetData>
  <sheetProtection/>
  <printOptions/>
  <pageMargins left="0" right="0" top="0.5905511811023623" bottom="0.5905511811023623"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33" sqref="B33"/>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3"/>
  <sheetViews>
    <sheetView zoomScale="115" zoomScaleNormal="115" zoomScalePageLayoutView="0" workbookViewId="0" topLeftCell="A1">
      <selection activeCell="G15" activeCellId="4" sqref="A1 E13 E13 E13 G15"/>
    </sheetView>
  </sheetViews>
  <sheetFormatPr defaultColWidth="9.140625" defaultRowHeight="12.75"/>
  <sheetData>
    <row r="1" ht="12.75">
      <c r="A1" s="49"/>
    </row>
    <row r="13" ht="12.75">
      <c r="E13" s="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Ogres novada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Velberga</dc:creator>
  <cp:keywords/>
  <dc:description/>
  <cp:lastModifiedBy>Maija Ozola</cp:lastModifiedBy>
  <cp:lastPrinted>2017-03-20T07:58:46Z</cp:lastPrinted>
  <dcterms:created xsi:type="dcterms:W3CDTF">2006-04-20T10:34:24Z</dcterms:created>
  <dcterms:modified xsi:type="dcterms:W3CDTF">2017-03-21T07:26:10Z</dcterms:modified>
  <cp:category/>
  <cp:version/>
  <cp:contentType/>
  <cp:contentStatus/>
</cp:coreProperties>
</file>