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2015" windowHeight="7590" activeTab="0"/>
  </bookViews>
  <sheets>
    <sheet name="Pamatbudžets   " sheetId="1" r:id="rId1"/>
    <sheet name="Specbudžets" sheetId="2" r:id="rId2"/>
    <sheet name="Specb pa veidiem" sheetId="3" r:id="rId3"/>
    <sheet name="Ziedojumi un dāvinājumi" sheetId="4" r:id="rId4"/>
  </sheets>
  <externalReferences>
    <externalReference r:id="rId7"/>
  </externalReferences>
  <definedNames>
    <definedName name="_xlnm.Print_Titles" localSheetId="0">'Pamatbudžets   '!$7:$7</definedName>
  </definedNames>
  <calcPr fullCalcOnLoad="1"/>
</workbook>
</file>

<file path=xl/sharedStrings.xml><?xml version="1.0" encoding="utf-8"?>
<sst xmlns="http://schemas.openxmlformats.org/spreadsheetml/2006/main" count="722" uniqueCount="474">
  <si>
    <t>Ogres novada domes</t>
  </si>
  <si>
    <t>Kods</t>
  </si>
  <si>
    <t>4.1.1.0.</t>
  </si>
  <si>
    <t>4.1.2.0.</t>
  </si>
  <si>
    <t>5.4.1.0.</t>
  </si>
  <si>
    <t>Pašvaldību nodevas</t>
  </si>
  <si>
    <t>9.5.0.0.</t>
  </si>
  <si>
    <t>07.000</t>
  </si>
  <si>
    <t>10.000</t>
  </si>
  <si>
    <t>Izglītība</t>
  </si>
  <si>
    <t>04.000</t>
  </si>
  <si>
    <t>Kultūra</t>
  </si>
  <si>
    <t>08.000</t>
  </si>
  <si>
    <t>05.000</t>
  </si>
  <si>
    <t>06.000</t>
  </si>
  <si>
    <t>Pašvaldības policija</t>
  </si>
  <si>
    <t>Kopā izdevumi:</t>
  </si>
  <si>
    <t>Kredīta atmaksa</t>
  </si>
  <si>
    <t>Finanšu - ekonomikas nodaļas vadītāja</t>
  </si>
  <si>
    <t>S.Velberga</t>
  </si>
  <si>
    <t>21.3.0.0.</t>
  </si>
  <si>
    <t>Valsts kases kredīts</t>
  </si>
  <si>
    <t>_______.2007.g.lēmumam Nr.</t>
  </si>
  <si>
    <t>Ogres novada 2007.g. budžets (bez aģentūrām)</t>
  </si>
  <si>
    <t>Nodokļu ieņēmumi</t>
  </si>
  <si>
    <t>1.1.1.0.</t>
  </si>
  <si>
    <t>4.1.0.0.</t>
  </si>
  <si>
    <t>Nekustamā īpašuma nodoklis</t>
  </si>
  <si>
    <t>Nekustamā īpašuma nodoklis par zemi</t>
  </si>
  <si>
    <t xml:space="preserve">Nekustamā īpašuma nodoklis par ēkām </t>
  </si>
  <si>
    <t>Azartspēļu nodoklis</t>
  </si>
  <si>
    <t>Nenodokļu ieņēmumi</t>
  </si>
  <si>
    <t>8.6.2.0.</t>
  </si>
  <si>
    <t>9.4.0.0.</t>
  </si>
  <si>
    <t>Valsts nodevas, kuras ieskaita pašvaldību budžetā</t>
  </si>
  <si>
    <t>Pārējie nenodokļu ieņēmumi</t>
  </si>
  <si>
    <t>18.0.0.0.</t>
  </si>
  <si>
    <t>19.0.0.0.</t>
  </si>
  <si>
    <t>Pašvaldību budžetu transferti</t>
  </si>
  <si>
    <t>19.2.0.0.</t>
  </si>
  <si>
    <t>21.0.0.0.</t>
  </si>
  <si>
    <t>Budžeta iestāžu ieņēmumi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</si>
  <si>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</si>
  <si>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</si>
  <si>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</si>
  <si>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</si>
  <si>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</si>
  <si>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Kopā ar kredītresursiem:</t>
  </si>
  <si>
    <t>Kopā ar budžeta atlikumu</t>
  </si>
  <si>
    <t>01.000</t>
  </si>
  <si>
    <t>Vispārējie valdības dienesti</t>
  </si>
  <si>
    <t>01.720</t>
  </si>
  <si>
    <t>Pašvaldību budžetu parāda darījumi</t>
  </si>
  <si>
    <t>01.721</t>
  </si>
  <si>
    <t>01.830</t>
  </si>
  <si>
    <t>Vispārēja rakstura transferti no pašvaldību budžeta pašvaldību budžetam</t>
  </si>
  <si>
    <t xml:space="preserve">       Norēķini ar citu pašvaldību izglītības iestādēm</t>
  </si>
  <si>
    <t>01.890</t>
  </si>
  <si>
    <t>03.000</t>
  </si>
  <si>
    <t>Sabiedriskā kārtība un drošība</t>
  </si>
  <si>
    <t>03.600</t>
  </si>
  <si>
    <t>Ekonomiskā darbība</t>
  </si>
  <si>
    <t>04.210</t>
  </si>
  <si>
    <t>04.510</t>
  </si>
  <si>
    <t>Autotransports</t>
  </si>
  <si>
    <t>04.600</t>
  </si>
  <si>
    <t>Sakari</t>
  </si>
  <si>
    <t>04.730</t>
  </si>
  <si>
    <t>Tūrisms</t>
  </si>
  <si>
    <t>Vides aizsardzība</t>
  </si>
  <si>
    <t>05.100</t>
  </si>
  <si>
    <t>Atkritumu apsaimniekošana</t>
  </si>
  <si>
    <t>05.200</t>
  </si>
  <si>
    <t>Notekūdeņu apsaimniekošana</t>
  </si>
  <si>
    <t>Pašvaldības teritoriju un mājokļu apsaimniekošana</t>
  </si>
  <si>
    <t>06.200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</si>
  <si>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</si>
  <si>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</si>
  <si>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</si>
  <si>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</si>
  <si>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</si>
  <si>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</si>
  <si>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Veselība</t>
  </si>
  <si>
    <t>07.210</t>
  </si>
  <si>
    <t>Ambulatorās ārstniecības iestādes</t>
  </si>
  <si>
    <t xml:space="preserve">       PA "Dziednīca"</t>
  </si>
  <si>
    <t>Atpūta, kultūra un reliģija</t>
  </si>
  <si>
    <t>08.100</t>
  </si>
  <si>
    <t>Atpūtas un sporta  pasākumi</t>
  </si>
  <si>
    <t xml:space="preserve">       Sporta pasākumu rīkošanai</t>
  </si>
  <si>
    <t xml:space="preserve">       Komandas vai individuālu sacensību dalībnieku atbalstam</t>
  </si>
  <si>
    <t>08.200</t>
  </si>
  <si>
    <t>08.210</t>
  </si>
  <si>
    <t>08.220</t>
  </si>
  <si>
    <t>08.290</t>
  </si>
  <si>
    <t>Televīzija</t>
  </si>
  <si>
    <t>09.000</t>
  </si>
  <si>
    <t>09.100</t>
  </si>
  <si>
    <t>PII  "Sprīdītis"</t>
  </si>
  <si>
    <t>PII  "Cīrulītis"</t>
  </si>
  <si>
    <t>PII  "Dzīpariņš"</t>
  </si>
  <si>
    <t>PII  "Zelta sietiņš"</t>
  </si>
  <si>
    <t>PII  "Saulīte"</t>
  </si>
  <si>
    <t>PII " Ābelīte"</t>
  </si>
  <si>
    <t>09.211</t>
  </si>
  <si>
    <t>Ogres 1. vidusskola</t>
  </si>
  <si>
    <t>Ogres ģimnāzija</t>
  </si>
  <si>
    <t>Jaunogres vidusskola</t>
  </si>
  <si>
    <t>Ogresgala pamatskola</t>
  </si>
  <si>
    <t>09.510</t>
  </si>
  <si>
    <t>Interešu un profesionālās ievirzes izglītība</t>
  </si>
  <si>
    <t>Sporta centrs</t>
  </si>
  <si>
    <t>Mūzikas skola</t>
  </si>
  <si>
    <t>Mākslas skola</t>
  </si>
  <si>
    <t>Bērnu un jauniešu centrs</t>
  </si>
  <si>
    <t>09.820</t>
  </si>
  <si>
    <t>Sociālā aizsardzība</t>
  </si>
  <si>
    <t>10.600</t>
  </si>
  <si>
    <t>Mājokļa atbalsts</t>
  </si>
  <si>
    <t>10.700</t>
  </si>
  <si>
    <t>Pārējais citur neklasificēts atbalsts sociāli atstumtām personām</t>
  </si>
  <si>
    <t xml:space="preserve">Sociālais dienests </t>
  </si>
  <si>
    <t>Invalīdu biedrības Ogres nodaļa</t>
  </si>
  <si>
    <t>Neredzīgo biedrības Ogres nodaļa</t>
  </si>
  <si>
    <t>Pensionāru biedrības darbības atbalstam</t>
  </si>
  <si>
    <t>08.330</t>
  </si>
  <si>
    <t>Izdevniecība ( Novada informatīvie izdevumi )</t>
  </si>
  <si>
    <t>04.220</t>
  </si>
  <si>
    <t>Mežsaimniecība un medniecība</t>
  </si>
  <si>
    <t>04.111</t>
  </si>
  <si>
    <t>Vispārējas ekonomiskas darbības vadība</t>
  </si>
  <si>
    <t xml:space="preserve">       Ceļu būvniecībai un remontiem</t>
  </si>
  <si>
    <t xml:space="preserve">       Pašvaldību budžetu valsts iekšējā parāda darījumi</t>
  </si>
  <si>
    <t xml:space="preserve">       Notekūdeņu (savākšana un attīrīšana)</t>
  </si>
  <si>
    <t xml:space="preserve">       Finansējums PA "Dziednīca"</t>
  </si>
  <si>
    <t>Pabalsts maznodrošinātām ģimenēm</t>
  </si>
  <si>
    <t>Politiski represēto klubam</t>
  </si>
  <si>
    <t>Valsts budžeta transferti</t>
  </si>
  <si>
    <t xml:space="preserve">    Muzeji un izstādes</t>
  </si>
  <si>
    <t xml:space="preserve">    Finansējums PA "Ogres kultūras centrs"</t>
  </si>
  <si>
    <t xml:space="preserve">    Kultūras pasākumi</t>
  </si>
  <si>
    <t xml:space="preserve">    Pilsētas dekorēšana svētkiem</t>
  </si>
  <si>
    <t xml:space="preserve">    Pensionēto izglītības darbinieku pasāk.</t>
  </si>
  <si>
    <t xml:space="preserve">          Gaidu un skautu muzejs</t>
  </si>
  <si>
    <t xml:space="preserve">      Nevalstisko org.projektu atbalstam</t>
  </si>
  <si>
    <t xml:space="preserve">         Projekts "Comenius " - Ģimnāzija</t>
  </si>
  <si>
    <t xml:space="preserve">       Lietus ūdens kanalizācija </t>
  </si>
  <si>
    <t>PII " Strautiņš"</t>
  </si>
  <si>
    <t xml:space="preserve">       mājokļu apsaimniekošana</t>
  </si>
  <si>
    <t xml:space="preserve">       siltumapgāde</t>
  </si>
  <si>
    <t xml:space="preserve">       kapu saimniecība</t>
  </si>
  <si>
    <t>Basketbola skola</t>
  </si>
  <si>
    <t xml:space="preserve">      Pārējie izdevumi</t>
  </si>
  <si>
    <t>Darba samaksa</t>
  </si>
  <si>
    <t>Darba devēja valsts sociālās apdrošināšanas obligātās iemaksas, sociālā rakstura pabalsti un kompensācija</t>
  </si>
  <si>
    <t>Preces un pakalpojumi</t>
  </si>
  <si>
    <t>Pakalpojumi</t>
  </si>
  <si>
    <t>Krājumi,materiāli,energoresursi,prece,biroja preces un inventārs, ko neuzskaita  5000. kodā</t>
  </si>
  <si>
    <t>Budžeta iestāžu nodokļu maksājumi</t>
  </si>
  <si>
    <t>Subsīdijas komersantiem, sabiedriskajām org. un citām institūcijām</t>
  </si>
  <si>
    <t>Procentu maksājumi iekšzemes kredītiestādēm</t>
  </si>
  <si>
    <t xml:space="preserve">Pārējie procentu maksājumi </t>
  </si>
  <si>
    <t>Nemateriālie ieguldījumi</t>
  </si>
  <si>
    <t>Pamatlīdzekļi</t>
  </si>
  <si>
    <t xml:space="preserve">Sociālie pabalsti naudā </t>
  </si>
  <si>
    <t xml:space="preserve"> IZDEVUMI KOPĀ</t>
  </si>
  <si>
    <t>10.3.0.0.</t>
  </si>
  <si>
    <t>Soda sankcijas par vispārējiem nodokļu maksāšanas pārkāpumiem</t>
  </si>
  <si>
    <t>Naudas sodi</t>
  </si>
  <si>
    <t xml:space="preserve">Pozīcijas nosaukums             </t>
  </si>
  <si>
    <t>Ieņēmumi no iedzīvotāju ienākuma nodokļa</t>
  </si>
  <si>
    <t>4.0.0.0.</t>
  </si>
  <si>
    <t>Īpašuma nodokļi</t>
  </si>
  <si>
    <t>Procentu ieņēmumi par kontu atlikumiem</t>
  </si>
  <si>
    <t>12.3.0.0.</t>
  </si>
  <si>
    <t>21.3.7.0.</t>
  </si>
  <si>
    <t>Ieņēmumi par  dokumentu izsniegšanu un kancelejas pakalpojumiem</t>
  </si>
  <si>
    <t>F40 32 00 10</t>
  </si>
  <si>
    <t>04.430</t>
  </si>
  <si>
    <t>Būvvalde</t>
  </si>
  <si>
    <t xml:space="preserve">      Īpašumu uzmērīšanai un reģistrēšanai Zemesgrāmatā</t>
  </si>
  <si>
    <t>PII "Taurenītis"</t>
  </si>
  <si>
    <t xml:space="preserve">Ķeipenes pamatskola </t>
  </si>
  <si>
    <t>Madlienas vidusskola</t>
  </si>
  <si>
    <t>09.219</t>
  </si>
  <si>
    <t>Suntažu vidusskola</t>
  </si>
  <si>
    <t>Suntažu sanatorijas internātpamatskola</t>
  </si>
  <si>
    <t>Madlienas mūzikas un mākslas skola</t>
  </si>
  <si>
    <t>09.600</t>
  </si>
  <si>
    <t>Izglītības papildu pakalpojumi</t>
  </si>
  <si>
    <t xml:space="preserve">         Projekts "Izglītības iestāžu informatizācija" </t>
  </si>
  <si>
    <t>10.500</t>
  </si>
  <si>
    <t>Atbalsts bezdarba gadījumā</t>
  </si>
  <si>
    <t xml:space="preserve">Sabiedriskās organizācijas </t>
  </si>
  <si>
    <t>Bērnu nams "Laubere"</t>
  </si>
  <si>
    <t>Pansionāts "Madliena"</t>
  </si>
  <si>
    <t>Latvijas nacionālo karavīru biedrība</t>
  </si>
  <si>
    <t>F40 32 00 20</t>
  </si>
  <si>
    <t>Izdevumi periodikas iegādei</t>
  </si>
  <si>
    <t>Sociālie pabalsti natūrā</t>
  </si>
  <si>
    <t xml:space="preserve">   Ieņēmuma pozīcijas nosaukums             </t>
  </si>
  <si>
    <t>5.5.3.0.</t>
  </si>
  <si>
    <t>Dabas resursu nodoklis</t>
  </si>
  <si>
    <t>12.3.9.0.</t>
  </si>
  <si>
    <t>Citi dažādi nenodokļu ieņēmumi</t>
  </si>
  <si>
    <t>F20010000</t>
  </si>
  <si>
    <t>F40 02 00 20</t>
  </si>
  <si>
    <t>Atlikums gada beigās</t>
  </si>
  <si>
    <t>Ogres novada</t>
  </si>
  <si>
    <t>kopsavilkums</t>
  </si>
  <si>
    <t>Budžeta nosaukumi</t>
  </si>
  <si>
    <t>Autoceļu (ielu) fonds</t>
  </si>
  <si>
    <t>Pārējie ieņēmumi</t>
  </si>
  <si>
    <t>tai sk. Atalgojums (1100)</t>
  </si>
  <si>
    <t>Soc.nod.(1200)</t>
  </si>
  <si>
    <t>Finanšu – ekonomikas nodaļas vadītāja</t>
  </si>
  <si>
    <t>S. Velberga</t>
  </si>
  <si>
    <t>Ogres novada Suntažu pagasta pārvaldes</t>
  </si>
  <si>
    <t>Ogres novada Madlienas pagasta pārvaldes</t>
  </si>
  <si>
    <t>Ogres novada Meņģeles pagasta pārvaldes</t>
  </si>
  <si>
    <t>Ogres novada Ķeipenes pagasta pārvaldes</t>
  </si>
  <si>
    <t>F40 02 00 20 Kredīta atmaksa</t>
  </si>
  <si>
    <t>Ogres novada Lauberes pagasta pārvaldes</t>
  </si>
  <si>
    <t>Ogres novada Krapes pagasta pārvaldes</t>
  </si>
  <si>
    <t>21.3.5.0.</t>
  </si>
  <si>
    <t>Maksa par izglītības pakalpojumiem</t>
  </si>
  <si>
    <t>1.1.1.1.</t>
  </si>
  <si>
    <t>Saņemts no VK sadales konta  iepriekšējā gada nesadalītais iedzīvotāju ienākuma nodokļa atlikums</t>
  </si>
  <si>
    <t>1.1.1.2.</t>
  </si>
  <si>
    <t>Saņemts no VK sadales konta  pārskata gadā ieskaitītais iedzīvotāju ienākuma nodoklis</t>
  </si>
  <si>
    <t>8.6.0.0.</t>
  </si>
  <si>
    <t>Procentu ieņēmumi par depozītiem, kontu atlikumiem un vērtpapīriem</t>
  </si>
  <si>
    <t>10.1.0.0.</t>
  </si>
  <si>
    <t>21.1.0.0.</t>
  </si>
  <si>
    <t xml:space="preserve">Budžeta iestādes ieņēmumi no ārvalstu finanšu palīdzības </t>
  </si>
  <si>
    <t>F56010000</t>
  </si>
  <si>
    <t>Kapitālieguldījumu fondu akcijas</t>
  </si>
  <si>
    <t>Ielu tīrīšanai, atkritumu savākšanai,teritoriju labiekārtošanai</t>
  </si>
  <si>
    <t>Mājokļu attīstība pašvaldībā</t>
  </si>
  <si>
    <t>Energoauditu atzinumi</t>
  </si>
  <si>
    <t xml:space="preserve">       Ģimenes ārstu prakse </t>
  </si>
  <si>
    <t xml:space="preserve">    Bibliotēkas </t>
  </si>
  <si>
    <t>PII "Riekstiņš"</t>
  </si>
  <si>
    <t>09.520</t>
  </si>
  <si>
    <t>Pedagogu profesionālās meistarības pilnveidošana</t>
  </si>
  <si>
    <t>09.810</t>
  </si>
  <si>
    <t>Projekts Skolēnu autobusi (Šveice)</t>
  </si>
  <si>
    <t>Projekts Skolēnu autobusi (Soc.droš.tīkls)</t>
  </si>
  <si>
    <t>10.400</t>
  </si>
  <si>
    <t>Atbalsts ģimenēm ar bērniem (Bāriņtiesas)</t>
  </si>
  <si>
    <t>F55 01 00 11</t>
  </si>
  <si>
    <t>Zaudējumi no valūtas kursa svārstībām</t>
  </si>
  <si>
    <t>18.6.0.0.</t>
  </si>
  <si>
    <t>Līdzekļu atlikums uz gada beigām (Kases apgrozāmie līdzekļi )</t>
  </si>
  <si>
    <t>Pašvaldību saņemtie transferti no valsts budžeta</t>
  </si>
  <si>
    <t>Pašvaldību saņemtie transferti no citām pašvaldībām</t>
  </si>
  <si>
    <t>Ieņēmumi no budžeta iestāžu sniegtajiem maksas pakalpojumiem un citi pašu ieņēmumi</t>
  </si>
  <si>
    <t>Atalgojums</t>
  </si>
  <si>
    <t>Mācību, darba un dienesta komandējumi, dienesta, darba braucieni</t>
  </si>
  <si>
    <t>Darba devēja valsts sociālās apdrošināšanas obligātās iemaksas, sociālā rakstura pabalsti un kompensācijas</t>
  </si>
  <si>
    <t>Subsīdijas un dotācijas komersantiem, biedrībām un nodibinājumiem</t>
  </si>
  <si>
    <t>Pašvaldību  uzturēšanas izdevumu transferti padotības iestādēm</t>
  </si>
  <si>
    <t>Pašvaldību uzturēšanas izdevumu transferti</t>
  </si>
  <si>
    <t>03.110</t>
  </si>
  <si>
    <t xml:space="preserve">Izpildvaras un likumdošanas varas  institūcijas </t>
  </si>
  <si>
    <t>01.8302</t>
  </si>
  <si>
    <t xml:space="preserve">Izdevumi neparedzētiem gadījumiem </t>
  </si>
  <si>
    <t>Pārējie sabiedriskās kārtības un drošības pakalpojumi (Video novērošanai Ogrē)</t>
  </si>
  <si>
    <t>04.11101</t>
  </si>
  <si>
    <t>Uzņēmējdarbības  attīstības veicināšanai</t>
  </si>
  <si>
    <t xml:space="preserve">Lauksaimniecība </t>
  </si>
  <si>
    <t>04.51001</t>
  </si>
  <si>
    <t>04.11106</t>
  </si>
  <si>
    <t>04.51002</t>
  </si>
  <si>
    <t>04.51003</t>
  </si>
  <si>
    <t>04.51004</t>
  </si>
  <si>
    <t>Projekts Tīnūžu-Brīvības ielas rekonstrukcija</t>
  </si>
  <si>
    <t>Projekts Atbalsts novadu attīstībai ERAF (Brīvības ielas rekonstrukcija)</t>
  </si>
  <si>
    <t>04.6001</t>
  </si>
  <si>
    <t>04.7301</t>
  </si>
  <si>
    <t>05.1001</t>
  </si>
  <si>
    <t>05.2001</t>
  </si>
  <si>
    <t>05.2002</t>
  </si>
  <si>
    <t>05.400</t>
  </si>
  <si>
    <t>Bioloģiskās daudzveidības un ainavas aizsardzība</t>
  </si>
  <si>
    <t>05.300</t>
  </si>
  <si>
    <t>Vides piesārņojuma novēršana un samazināšana</t>
  </si>
  <si>
    <t>06.60001</t>
  </si>
  <si>
    <t>06.60002</t>
  </si>
  <si>
    <t>06.60003</t>
  </si>
  <si>
    <t>06.60004</t>
  </si>
  <si>
    <t>06.60006</t>
  </si>
  <si>
    <t>06.60007</t>
  </si>
  <si>
    <t>06.60008</t>
  </si>
  <si>
    <t>06.60009</t>
  </si>
  <si>
    <t>06.60010</t>
  </si>
  <si>
    <t>07.2101</t>
  </si>
  <si>
    <t>07.2102</t>
  </si>
  <si>
    <t>05.30002</t>
  </si>
  <si>
    <t>08.1001</t>
  </si>
  <si>
    <t>08.1002</t>
  </si>
  <si>
    <t>08.2201</t>
  </si>
  <si>
    <t>08.2202</t>
  </si>
  <si>
    <t xml:space="preserve">    Kultūras centri, nami</t>
  </si>
  <si>
    <t>Pārējā citur neklasificētā kultūra</t>
  </si>
  <si>
    <t>08.29001</t>
  </si>
  <si>
    <t>08.29002</t>
  </si>
  <si>
    <t>08.29003</t>
  </si>
  <si>
    <t>08.310</t>
  </si>
  <si>
    <t>09.10001</t>
  </si>
  <si>
    <t>09.10002</t>
  </si>
  <si>
    <t>09.10003</t>
  </si>
  <si>
    <t>09.10004</t>
  </si>
  <si>
    <t>09.10005</t>
  </si>
  <si>
    <t>09.10006</t>
  </si>
  <si>
    <t>09.10007</t>
  </si>
  <si>
    <t>09.10008</t>
  </si>
  <si>
    <t>09.10009</t>
  </si>
  <si>
    <t>09.10010</t>
  </si>
  <si>
    <t>Sākumskolas (ISCED-97 1. līmenis)</t>
  </si>
  <si>
    <t>Vispārējās izglītības mācību iestāžu izdevumi (ISCED-97 1.- 3. līmenis)</t>
  </si>
  <si>
    <t>09.21901</t>
  </si>
  <si>
    <t>09.21902</t>
  </si>
  <si>
    <t>09.21903</t>
  </si>
  <si>
    <t>09.21904</t>
  </si>
  <si>
    <t>09.21905</t>
  </si>
  <si>
    <t>09.21906</t>
  </si>
  <si>
    <t>09.21907</t>
  </si>
  <si>
    <t>09.21908</t>
  </si>
  <si>
    <t>09.21910</t>
  </si>
  <si>
    <t>09.5101</t>
  </si>
  <si>
    <t>09.5102</t>
  </si>
  <si>
    <t>09.5103</t>
  </si>
  <si>
    <t>09.5104</t>
  </si>
  <si>
    <t>09.5105</t>
  </si>
  <si>
    <t>09.5106</t>
  </si>
  <si>
    <t>Pārējā citur neklasificētā izglītība (izglītības projektu realizācija)</t>
  </si>
  <si>
    <t>09.82001</t>
  </si>
  <si>
    <t>09.82002</t>
  </si>
  <si>
    <t>09.82003</t>
  </si>
  <si>
    <t>09.82007</t>
  </si>
  <si>
    <t>09.82008</t>
  </si>
  <si>
    <t>09.82012</t>
  </si>
  <si>
    <t>10.70001</t>
  </si>
  <si>
    <t>10.70002</t>
  </si>
  <si>
    <t>10.70003</t>
  </si>
  <si>
    <t>10.70004</t>
  </si>
  <si>
    <t>10.70005</t>
  </si>
  <si>
    <t>10.70006</t>
  </si>
  <si>
    <t>10.70007</t>
  </si>
  <si>
    <t>10.70008</t>
  </si>
  <si>
    <t>10.70009</t>
  </si>
  <si>
    <t>10.70010</t>
  </si>
  <si>
    <t>10.70011</t>
  </si>
  <si>
    <t>08.230</t>
  </si>
  <si>
    <t>Pārējā izglītības vadība (Izglītības un sporta pārvalde)</t>
  </si>
  <si>
    <t>01.830    7230</t>
  </si>
  <si>
    <t>Teritoriju attīstība ( projektēšanai )</t>
  </si>
  <si>
    <t xml:space="preserve">Pirmsskolas izglītība </t>
  </si>
  <si>
    <t>Pārējie maksājumi iedzīvotājiem natūrā un kompensācijas</t>
  </si>
  <si>
    <t>Pārējais autotransports</t>
  </si>
  <si>
    <t xml:space="preserve">      Saimniecības nodaļa</t>
  </si>
  <si>
    <t>01.100</t>
  </si>
  <si>
    <t>4.1.3.0.</t>
  </si>
  <si>
    <t>Nekustamā īpašuma nodoklis par mājokļiem</t>
  </si>
  <si>
    <t>Projektu pieteikumu un Ogres novada Startēģijas izstrāde</t>
  </si>
  <si>
    <t>04.11108</t>
  </si>
  <si>
    <t>06.100</t>
  </si>
  <si>
    <t>06.3001</t>
  </si>
  <si>
    <t>Ūdenssaimniecības attīstības projekti pagastos</t>
  </si>
  <si>
    <t xml:space="preserve">          Vēstures un mākslas muzejs</t>
  </si>
  <si>
    <t>08.29009</t>
  </si>
  <si>
    <t>10.70012</t>
  </si>
  <si>
    <t>10.70013</t>
  </si>
  <si>
    <t>Latvijas Sarkanā Krusta Ogres komiteja</t>
  </si>
  <si>
    <t>Pakalpojumi, kurus budžeta iestādes apmaksā noteikto funkciju ietvaros, kas nav iestādes administratīvie izdevumi</t>
  </si>
  <si>
    <t>Valsts budž.un pašv.budž.transferti un mērķdot.kapitālajiem izd.</t>
  </si>
  <si>
    <t xml:space="preserve">18.6.2.0. </t>
  </si>
  <si>
    <t>Pašvaldību saņemtie valsts budžeta transferti noteiktam mērķim</t>
  </si>
  <si>
    <t>23.0.0.0.</t>
  </si>
  <si>
    <t>Saņemtie ziedojumi un dāvinājumi</t>
  </si>
  <si>
    <t xml:space="preserve">Ogres un Ogresgala 2014.g. budžets </t>
  </si>
  <si>
    <t>Pašvald. aģentūras "Mālkalne" 2014.g. budžets</t>
  </si>
  <si>
    <t>Pašvald. aģentūras "Kultūras centrs" 2014.g. budžets</t>
  </si>
  <si>
    <t>Pašvald. aģentūras "Dziednīca" 2014.g. budžets</t>
  </si>
  <si>
    <t>PA "Ogres un Ikšķiles tūrisma attīst.aģent." 2014.g. budžets</t>
  </si>
  <si>
    <t>Suntažu pagasta pārvaldes 2014.g. budžets</t>
  </si>
  <si>
    <t>Lauberes pagasta pārvaldes 2014.g. budžets</t>
  </si>
  <si>
    <t>Ķeipenes pagasta pārvaldes 2014.g. budžets</t>
  </si>
  <si>
    <t>Madlienas pagasta pārvaldes 2014.g. budžets</t>
  </si>
  <si>
    <t>Krapes pagasta pārvaldes 2014.g. budžets</t>
  </si>
  <si>
    <t>Meņģeles pagasta pārvaldes 2014.g. budžets</t>
  </si>
  <si>
    <t>Ogres novada pašvaldības 2014.g. budžets</t>
  </si>
  <si>
    <t xml:space="preserve">2014.gada speciālo budžetu </t>
  </si>
  <si>
    <t>2014.gada speciālo budžetu kopsavilkums</t>
  </si>
  <si>
    <t>2014.gada ieņēmumi</t>
  </si>
  <si>
    <t>Atlikums uz 01.01.2014.</t>
  </si>
  <si>
    <t>Pavisam ieņēmumi 2014.g.</t>
  </si>
  <si>
    <t>Izdevumi 2014.g.</t>
  </si>
  <si>
    <t>Atlikums uz 01.01.2015.g.</t>
  </si>
  <si>
    <t>21.4.9.9.</t>
  </si>
  <si>
    <t>Projekts Ķeipenes estrādes būvniecība</t>
  </si>
  <si>
    <t>03.200</t>
  </si>
  <si>
    <t>Ugunsdrošības, glābšanas un civilās drošības dienesti</t>
  </si>
  <si>
    <t>09.82014</t>
  </si>
  <si>
    <t xml:space="preserve">         Projekts "Comenius " -Ogres sākumskola</t>
  </si>
  <si>
    <t>Ģimenes atbalsta dienas centra telpu iegādei</t>
  </si>
  <si>
    <t>Budžeta  atl.uz  01. 01. 2014.g.</t>
  </si>
  <si>
    <t xml:space="preserve"> COMENIUS Regio apakšprogrammas projekta “Outdoor Learning 4 All” </t>
  </si>
  <si>
    <t>09.82011</t>
  </si>
  <si>
    <t>09.82016</t>
  </si>
  <si>
    <t>Ogres novada Meņģeles, Mazozolu un Taurupes pagasta sporta aktivitāšu un infrastruktūras uzlabošana</t>
  </si>
  <si>
    <t xml:space="preserve">Ogres un Ogregala 2014.g. budžets </t>
  </si>
  <si>
    <t>Pašvald. aģentūras "Ogres novada kultūras centrs" 2014.g. budžets</t>
  </si>
  <si>
    <t>Pārējie  ieņēmumi</t>
  </si>
  <si>
    <t>Taurupes pamatskola</t>
  </si>
  <si>
    <t>Kontrolei:</t>
  </si>
  <si>
    <t>Ogres novada pašvaldības 2014.gada budžeta ieņēmumi (EUR).</t>
  </si>
  <si>
    <t>Ogres novada pašvaldības 2014. gada budžeta  izdevumi atbilstoši funkcionālajām kategorijām (EUR).</t>
  </si>
  <si>
    <t>Ogres novada pašvaldības 2014. gada budžeta  izdevumi atbilstoši ekonomiskajām kategorijām (EUR).</t>
  </si>
  <si>
    <t>Ogres novada pašvaldības 2014.gada speciālā budžeta ieņēmumi (EUR).</t>
  </si>
  <si>
    <t>Ogres novada pašvaldības 2014. gada speciālā budžeta  izdevumi atbilstoši funkcionālajām kategorijām (EUR).</t>
  </si>
  <si>
    <t>Kopā           (EUR)</t>
  </si>
  <si>
    <t>Ogres novada pašvaldības 2014.gada ziedojumu un dāvinālumu ieņēmumi (EUR).</t>
  </si>
  <si>
    <t>Ogres novada pašvaldības 2014. gada ziedojumu un dāvinājumu  izdevumi atbilstoši funkcionālajām kategorijām (EUR).</t>
  </si>
  <si>
    <t>Ogres novada pašvaldības 2014. gada ziedojumu un dāvinājumu  izdevumi atbilstoši ekonomiskajām kategorijām (EUR).</t>
  </si>
  <si>
    <t>04.51006</t>
  </si>
  <si>
    <t>ESTLAT Riverways Ogres upes promenāde</t>
  </si>
  <si>
    <t>Europe for Citizens - Represēto piemineklis</t>
  </si>
  <si>
    <t>05.30003</t>
  </si>
  <si>
    <t>Energoefektivitātes paaugstināšana Ogres vispārējās pirmsskolas izglītības iestādē „Cīrulītis”</t>
  </si>
  <si>
    <t>05.30004</t>
  </si>
  <si>
    <t>Energoefektivitātes paaugstināšana Ogres vispārējās pirmsskolas izglītības iestādē „Saulīte”</t>
  </si>
  <si>
    <t>05.30005</t>
  </si>
  <si>
    <t>05.30006</t>
  </si>
  <si>
    <t>05.30007</t>
  </si>
  <si>
    <t>05.30008</t>
  </si>
  <si>
    <t>Energoefektivitātes paaugstināšana Ogres vispārējās pirmsskolas izglītības iestādē „Zelta Sietiņš”</t>
  </si>
  <si>
    <t>Energoefektivitātes paaugstināšana Madlienas vispārējās pirmsskolas izglītības iestādē „Taurenītis”</t>
  </si>
  <si>
    <t>Energoefektivitātes paaugstināšana Ogres vispārējās pirmsskolas izglītības iestādē „Dzīpariņš”</t>
  </si>
  <si>
    <t>Energoefektivitātes paaugstināšana Ogres vispārējās pirmsskolas izglītības iestādē „Strautiņš”</t>
  </si>
  <si>
    <t xml:space="preserve">       Projekts "Veidojam vidi ap mums "</t>
  </si>
  <si>
    <t>06.60011</t>
  </si>
  <si>
    <t>KPFI "Siltumnīcefekta gāzu emisiju samazin. Ogres pilsētas publiskās teritorijas apgaismojuma infrastruktūra II kārta."</t>
  </si>
  <si>
    <t>KPFI "Siltumnīcefekta gāzu emisijas samazināšana transporta sektorā - atbalsts elektromobiļu un to uzlādes infrastruktūras ieviešanai"</t>
  </si>
  <si>
    <t>06.60012</t>
  </si>
  <si>
    <t>Publisko interneta pieejas punktu attīstība</t>
  </si>
  <si>
    <t>PII infrastruktūras attīstība Ogres novadā (Saulīte)</t>
  </si>
  <si>
    <t>09.82017</t>
  </si>
  <si>
    <t>Latvijas Šveices projekts Atbalsts ugunsdrošības pasākumiem pašvaldībau vispārējās izglītības iestādēs</t>
  </si>
  <si>
    <t>Pilsētu mēru pakts, mobilitātes un enerģijas diena</t>
  </si>
  <si>
    <t>Vasaras nometnes organizēšanai</t>
  </si>
  <si>
    <t>Ogres novada Krusts</t>
  </si>
  <si>
    <t xml:space="preserve">Ogres un Ikšķiles PA " Tūrisma, sporta un atpūtas kompleksa "Zilie kalni"  attīstības aģentūra" </t>
  </si>
  <si>
    <t>Mazozolu un Taurupes pagasta pārvaldes 2014.g. budžets</t>
  </si>
  <si>
    <t>Mazozolu un Taurupes pagastu pārvaldes 2014.g. budžets</t>
  </si>
  <si>
    <t>Ogres novada Mazozolu un Taurupes pagastu pārvaldes</t>
  </si>
  <si>
    <t>SIA MS siltums  pamatkapitāla palielināšanai (katlumāju rekonstrukcija)</t>
  </si>
  <si>
    <t>F22010020</t>
  </si>
  <si>
    <t>Pieprasījuma noguldījuma izņemšana</t>
  </si>
  <si>
    <t>1.pielikums</t>
  </si>
  <si>
    <t>pašvaldības domes</t>
  </si>
  <si>
    <t>2014.gada 23.janvāra saistošajiem noteikumiem Nr.6/2014</t>
  </si>
  <si>
    <t>2.pielikums</t>
  </si>
  <si>
    <t>3.pielikums</t>
  </si>
  <si>
    <t>4.pielikums</t>
  </si>
  <si>
    <t>Suntažu pagasta pārvaldes vadītājs:                              A.Ronis</t>
  </si>
  <si>
    <t>Madlienas pagasta pārvaldes vadītājs:                                                 O.Atslēdziņš</t>
  </si>
  <si>
    <t>Meņģeles pagasta pārvaldes vadītājs:                                              I.Jermacāne</t>
  </si>
  <si>
    <t>Ķeipenes pagasta pārvaldes vadītājs:                                                V.Sirsonis</t>
  </si>
  <si>
    <t>Taurupes un Mazozolu pagastu pārvaldes vadītājs:                               J.Stafeckis</t>
  </si>
  <si>
    <t>Lauberes pagasta pārvaldes vadītājs:                                                   A.Misters</t>
  </si>
  <si>
    <t>Krapes pagasta pārvaldes vadītājs:                                                        I.Sandore</t>
  </si>
  <si>
    <t>Finansējums bērniem, kuri apmeklē privātās pirmsskolas izglītības iestādes</t>
  </si>
</sst>
</file>

<file path=xl/styles.xml><?xml version="1.0" encoding="utf-8"?>
<styleSheet xmlns="http://schemas.openxmlformats.org/spreadsheetml/2006/main">
  <numFmts count="4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0"/>
    <numFmt numFmtId="182" formatCode="0.000"/>
    <numFmt numFmtId="183" formatCode="0.0%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#,##0.0"/>
    <numFmt numFmtId="191" formatCode="_-* #,##0.0_-;\-* #,##0.0_-;_-* &quot;-&quot;??_-;_-@_-"/>
    <numFmt numFmtId="192" formatCode="_-* #,##0_-;\-* #,##0_-;_-* &quot;-&quot;??_-;_-@_-"/>
    <numFmt numFmtId="193" formatCode="_-&quot;Ls&quot;\ * #,##0.0_-;\-&quot;Ls&quot;\ * #,##0.0_-;_-&quot;Ls&quot;\ * &quot;-&quot;??_-;_-@_-"/>
    <numFmt numFmtId="194" formatCode="_-&quot;Ls&quot;\ * #,##0_-;\-&quot;Ls&quot;\ * #,##0_-;_-&quot;Ls&quot;\ 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"/>
    <numFmt numFmtId="199" formatCode="000000"/>
    <numFmt numFmtId="200" formatCode="dd/mm/yy"/>
    <numFmt numFmtId="201" formatCode="[$€-2]\ #,##0.00_);[Red]\([$€-2]\ #,##0.00\)"/>
    <numFmt numFmtId="202" formatCode="#,##0.00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Times New Roman"/>
      <family val="1"/>
    </font>
    <font>
      <sz val="10"/>
      <name val="RimTimes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name val="Arial"/>
      <family val="2"/>
    </font>
    <font>
      <b/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21" fillId="16" borderId="2" applyNumberFormat="0" applyAlignment="0" applyProtection="0"/>
    <xf numFmtId="0" fontId="23" fillId="0" borderId="3" applyNumberFormat="0" applyFill="0" applyAlignment="0" applyProtection="0"/>
    <xf numFmtId="0" fontId="13" fillId="4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1" fillId="22" borderId="4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18" fillId="0" borderId="6" applyNumberFormat="0" applyFill="0" applyAlignment="0" applyProtection="0"/>
    <xf numFmtId="0" fontId="9" fillId="3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30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/>
    </xf>
    <xf numFmtId="0" fontId="2" fillId="0" borderId="0" xfId="57" applyFont="1" applyFill="1" applyAlignment="1">
      <alignment horizontal="left"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1" xfId="53" applyFont="1" applyBorder="1" applyAlignment="1">
      <alignment vertical="center" wrapText="1"/>
      <protection/>
    </xf>
    <xf numFmtId="0" fontId="1" fillId="0" borderId="14" xfId="52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wrapText="1"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1" fontId="2" fillId="0" borderId="22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80" fontId="2" fillId="0" borderId="22" xfId="0" applyNumberFormat="1" applyFont="1" applyFill="1" applyBorder="1" applyAlignment="1">
      <alignment/>
    </xf>
    <xf numFmtId="180" fontId="2" fillId="0" borderId="19" xfId="0" applyNumberFormat="1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3" fontId="2" fillId="0" borderId="20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1" fontId="2" fillId="0" borderId="26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180" fontId="2" fillId="0" borderId="24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left" indent="1"/>
    </xf>
    <xf numFmtId="3" fontId="1" fillId="0" borderId="12" xfId="0" applyNumberFormat="1" applyFont="1" applyFill="1" applyBorder="1" applyAlignment="1">
      <alignment horizontal="right"/>
    </xf>
    <xf numFmtId="0" fontId="2" fillId="0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3" fontId="2" fillId="0" borderId="15" xfId="0" applyNumberFormat="1" applyFont="1" applyFill="1" applyBorder="1" applyAlignment="1" applyProtection="1">
      <alignment/>
      <protection/>
    </xf>
    <xf numFmtId="3" fontId="2" fillId="0" borderId="15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180" fontId="2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9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left" wrapText="1"/>
      <protection/>
    </xf>
    <xf numFmtId="3" fontId="1" fillId="0" borderId="19" xfId="0" applyNumberFormat="1" applyFont="1" applyFill="1" applyBorder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center"/>
      <protection/>
    </xf>
    <xf numFmtId="3" fontId="1" fillId="0" borderId="20" xfId="0" applyNumberFormat="1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left" wrapText="1"/>
      <protection/>
    </xf>
    <xf numFmtId="3" fontId="2" fillId="0" borderId="19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190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/>
    </xf>
    <xf numFmtId="0" fontId="2" fillId="0" borderId="0" xfId="57" applyFont="1" applyFill="1" applyAlignment="1">
      <alignment horizontal="right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49" fontId="1" fillId="0" borderId="27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 wrapText="1"/>
    </xf>
    <xf numFmtId="49" fontId="1" fillId="0" borderId="28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wrapText="1"/>
    </xf>
    <xf numFmtId="3" fontId="1" fillId="0" borderId="25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/>
    </xf>
    <xf numFmtId="3" fontId="2" fillId="0" borderId="16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right"/>
    </xf>
    <xf numFmtId="49" fontId="1" fillId="0" borderId="24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2" fillId="0" borderId="19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2" fillId="0" borderId="28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left" wrapText="1"/>
    </xf>
    <xf numFmtId="180" fontId="2" fillId="0" borderId="26" xfId="0" applyNumberFormat="1" applyFont="1" applyFill="1" applyBorder="1" applyAlignment="1">
      <alignment/>
    </xf>
    <xf numFmtId="180" fontId="2" fillId="0" borderId="29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3" fontId="2" fillId="0" borderId="3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49" fontId="2" fillId="0" borderId="27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3" fontId="1" fillId="0" borderId="24" xfId="0" applyNumberFormat="1" applyFont="1" applyFill="1" applyBorder="1" applyAlignment="1">
      <alignment/>
    </xf>
    <xf numFmtId="49" fontId="1" fillId="0" borderId="33" xfId="0" applyNumberFormat="1" applyFont="1" applyFill="1" applyBorder="1" applyAlignment="1">
      <alignment horizontal="left"/>
    </xf>
    <xf numFmtId="2" fontId="2" fillId="0" borderId="19" xfId="0" applyNumberFormat="1" applyFont="1" applyFill="1" applyBorder="1" applyAlignment="1">
      <alignment wrapText="1"/>
    </xf>
    <xf numFmtId="180" fontId="2" fillId="0" borderId="23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49" fontId="1" fillId="0" borderId="34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 wrapText="1"/>
    </xf>
    <xf numFmtId="3" fontId="1" fillId="0" borderId="35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1" fillId="0" borderId="38" xfId="0" applyFont="1" applyFill="1" applyBorder="1" applyAlignment="1">
      <alignment wrapText="1"/>
    </xf>
    <xf numFmtId="3" fontId="1" fillId="0" borderId="39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1" fillId="0" borderId="1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80" fontId="1" fillId="0" borderId="24" xfId="0" applyNumberFormat="1" applyFont="1" applyFill="1" applyBorder="1" applyAlignment="1">
      <alignment/>
    </xf>
    <xf numFmtId="1" fontId="1" fillId="0" borderId="24" xfId="0" applyNumberFormat="1" applyFont="1" applyFill="1" applyBorder="1" applyAlignment="1">
      <alignment/>
    </xf>
    <xf numFmtId="0" fontId="2" fillId="0" borderId="0" xfId="52" applyFont="1" applyFill="1">
      <alignment/>
      <protection/>
    </xf>
    <xf numFmtId="3" fontId="2" fillId="0" borderId="0" xfId="52" applyNumberFormat="1" applyFont="1" applyFill="1" applyAlignment="1">
      <alignment wrapText="1"/>
      <protection/>
    </xf>
    <xf numFmtId="0" fontId="2" fillId="0" borderId="0" xfId="52" applyFont="1" applyFill="1">
      <alignment/>
      <protection/>
    </xf>
    <xf numFmtId="0" fontId="1" fillId="0" borderId="0" xfId="52" applyFont="1" applyFill="1">
      <alignment/>
      <protection/>
    </xf>
    <xf numFmtId="0" fontId="2" fillId="0" borderId="0" xfId="52" applyFont="1" applyFill="1" applyAlignment="1">
      <alignment horizontal="left"/>
      <protection/>
    </xf>
    <xf numFmtId="0" fontId="4" fillId="0" borderId="0" xfId="52" applyFont="1" applyFill="1" applyAlignment="1">
      <alignment/>
      <protection/>
    </xf>
    <xf numFmtId="0" fontId="26" fillId="0" borderId="0" xfId="52" applyFont="1" applyFill="1">
      <alignment/>
      <protection/>
    </xf>
    <xf numFmtId="0" fontId="2" fillId="0" borderId="0" xfId="52" applyFont="1" applyFill="1" applyAlignment="1">
      <alignment horizontal="left" wrapText="1"/>
      <protection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1" xfId="52" applyFont="1" applyFill="1" applyBorder="1" applyAlignment="1" applyProtection="1">
      <alignment horizontal="center" vertical="center" wrapText="1"/>
      <protection/>
    </xf>
    <xf numFmtId="0" fontId="25" fillId="0" borderId="11" xfId="52" applyFont="1" applyFill="1" applyBorder="1" applyAlignment="1" applyProtection="1">
      <alignment horizontal="center" vertical="top" wrapText="1"/>
      <protection/>
    </xf>
    <xf numFmtId="0" fontId="1" fillId="0" borderId="27" xfId="52" applyFont="1" applyFill="1" applyBorder="1" applyAlignment="1">
      <alignment horizontal="right"/>
      <protection/>
    </xf>
    <xf numFmtId="0" fontId="1" fillId="0" borderId="15" xfId="52" applyFont="1" applyFill="1" applyBorder="1" applyAlignment="1">
      <alignment wrapText="1"/>
      <protection/>
    </xf>
    <xf numFmtId="3" fontId="1" fillId="0" borderId="15" xfId="52" applyNumberFormat="1" applyFont="1" applyFill="1" applyBorder="1">
      <alignment/>
      <protection/>
    </xf>
    <xf numFmtId="3" fontId="1" fillId="0" borderId="17" xfId="52" applyNumberFormat="1" applyFont="1" applyFill="1" applyBorder="1">
      <alignment/>
      <protection/>
    </xf>
    <xf numFmtId="180" fontId="2" fillId="0" borderId="0" xfId="52" applyNumberFormat="1" applyFont="1" applyFill="1">
      <alignment/>
      <protection/>
    </xf>
    <xf numFmtId="0" fontId="2" fillId="0" borderId="18" xfId="52" applyFont="1" applyFill="1" applyBorder="1" applyAlignment="1">
      <alignment horizontal="left"/>
      <protection/>
    </xf>
    <xf numFmtId="0" fontId="2" fillId="0" borderId="19" xfId="52" applyFont="1" applyFill="1" applyBorder="1" applyAlignment="1">
      <alignment wrapText="1"/>
      <protection/>
    </xf>
    <xf numFmtId="3" fontId="2" fillId="0" borderId="19" xfId="52" applyNumberFormat="1" applyFont="1" applyFill="1" applyBorder="1">
      <alignment/>
      <protection/>
    </xf>
    <xf numFmtId="3" fontId="2" fillId="0" borderId="17" xfId="52" applyNumberFormat="1" applyFont="1" applyFill="1" applyBorder="1">
      <alignment/>
      <protection/>
    </xf>
    <xf numFmtId="0" fontId="1" fillId="0" borderId="18" xfId="52" applyFont="1" applyFill="1" applyBorder="1" applyAlignment="1">
      <alignment horizontal="right"/>
      <protection/>
    </xf>
    <xf numFmtId="0" fontId="1" fillId="0" borderId="19" xfId="52" applyFont="1" applyFill="1" applyBorder="1" applyAlignment="1">
      <alignment wrapText="1"/>
      <protection/>
    </xf>
    <xf numFmtId="3" fontId="1" fillId="0" borderId="19" xfId="52" applyNumberFormat="1" applyFont="1" applyFill="1" applyBorder="1">
      <alignment/>
      <protection/>
    </xf>
    <xf numFmtId="3" fontId="1" fillId="0" borderId="20" xfId="52" applyNumberFormat="1" applyFont="1" applyFill="1" applyBorder="1">
      <alignment/>
      <protection/>
    </xf>
    <xf numFmtId="1" fontId="2" fillId="0" borderId="22" xfId="52" applyNumberFormat="1" applyFont="1" applyFill="1" applyBorder="1">
      <alignment/>
      <protection/>
    </xf>
    <xf numFmtId="180" fontId="2" fillId="0" borderId="19" xfId="52" applyNumberFormat="1" applyFont="1" applyFill="1" applyBorder="1">
      <alignment/>
      <protection/>
    </xf>
    <xf numFmtId="0" fontId="2" fillId="0" borderId="19" xfId="52" applyFont="1" applyFill="1" applyBorder="1">
      <alignment/>
      <protection/>
    </xf>
    <xf numFmtId="0" fontId="2" fillId="0" borderId="20" xfId="52" applyFont="1" applyFill="1" applyBorder="1">
      <alignment/>
      <protection/>
    </xf>
    <xf numFmtId="0" fontId="1" fillId="0" borderId="18" xfId="52" applyFont="1" applyFill="1" applyBorder="1" applyAlignment="1">
      <alignment horizontal="left"/>
      <protection/>
    </xf>
    <xf numFmtId="0" fontId="1" fillId="0" borderId="19" xfId="52" applyFont="1" applyFill="1" applyBorder="1" applyAlignment="1">
      <alignment wrapText="1"/>
      <protection/>
    </xf>
    <xf numFmtId="3" fontId="1" fillId="0" borderId="19" xfId="52" applyNumberFormat="1" applyFont="1" applyFill="1" applyBorder="1">
      <alignment/>
      <protection/>
    </xf>
    <xf numFmtId="1" fontId="1" fillId="0" borderId="23" xfId="52" applyNumberFormat="1" applyFont="1" applyFill="1" applyBorder="1">
      <alignment/>
      <protection/>
    </xf>
    <xf numFmtId="180" fontId="1" fillId="0" borderId="20" xfId="52" applyNumberFormat="1" applyFont="1" applyFill="1" applyBorder="1">
      <alignment/>
      <protection/>
    </xf>
    <xf numFmtId="0" fontId="1" fillId="0" borderId="20" xfId="52" applyFont="1" applyFill="1" applyBorder="1">
      <alignment/>
      <protection/>
    </xf>
    <xf numFmtId="0" fontId="1" fillId="0" borderId="19" xfId="52" applyFont="1" applyFill="1" applyBorder="1">
      <alignment/>
      <protection/>
    </xf>
    <xf numFmtId="0" fontId="1" fillId="0" borderId="18" xfId="52" applyFont="1" applyFill="1" applyBorder="1" applyAlignment="1">
      <alignment horizontal="left"/>
      <protection/>
    </xf>
    <xf numFmtId="0" fontId="2" fillId="0" borderId="18" xfId="52" applyFont="1" applyFill="1" applyBorder="1" applyAlignment="1">
      <alignment horizontal="right"/>
      <protection/>
    </xf>
    <xf numFmtId="1" fontId="2" fillId="0" borderId="19" xfId="52" applyNumberFormat="1" applyFont="1" applyFill="1" applyBorder="1">
      <alignment/>
      <protection/>
    </xf>
    <xf numFmtId="0" fontId="2" fillId="0" borderId="10" xfId="52" applyFont="1" applyFill="1" applyBorder="1" applyAlignment="1">
      <alignment horizontal="right"/>
      <protection/>
    </xf>
    <xf numFmtId="0" fontId="1" fillId="0" borderId="11" xfId="52" applyFont="1" applyFill="1" applyBorder="1" applyAlignment="1">
      <alignment horizontal="right" wrapText="1"/>
      <protection/>
    </xf>
    <xf numFmtId="3" fontId="1" fillId="0" borderId="11" xfId="52" applyNumberFormat="1" applyFont="1" applyFill="1" applyBorder="1" applyAlignment="1">
      <alignment horizontal="right" indent="1"/>
      <protection/>
    </xf>
    <xf numFmtId="3" fontId="1" fillId="0" borderId="11" xfId="52" applyNumberFormat="1" applyFont="1" applyFill="1" applyBorder="1" applyAlignment="1">
      <alignment horizontal="center"/>
      <protection/>
    </xf>
    <xf numFmtId="3" fontId="1" fillId="0" borderId="14" xfId="52" applyNumberFormat="1" applyFont="1" applyFill="1" applyBorder="1">
      <alignment/>
      <protection/>
    </xf>
    <xf numFmtId="0" fontId="2" fillId="0" borderId="15" xfId="52" applyFont="1" applyFill="1" applyBorder="1" applyProtection="1">
      <alignment/>
      <protection/>
    </xf>
    <xf numFmtId="0" fontId="2" fillId="0" borderId="15" xfId="52" applyFont="1" applyFill="1" applyBorder="1" applyAlignment="1" applyProtection="1">
      <alignment horizontal="left" wrapText="1"/>
      <protection/>
    </xf>
    <xf numFmtId="3" fontId="2" fillId="0" borderId="15" xfId="52" applyNumberFormat="1" applyFont="1" applyFill="1" applyBorder="1" applyProtection="1">
      <alignment/>
      <protection/>
    </xf>
    <xf numFmtId="3" fontId="2" fillId="0" borderId="15" xfId="52" applyNumberFormat="1" applyFont="1" applyFill="1" applyBorder="1" applyAlignment="1" applyProtection="1">
      <alignment horizontal="center"/>
      <protection/>
    </xf>
    <xf numFmtId="0" fontId="1" fillId="0" borderId="19" xfId="52" applyFont="1" applyFill="1" applyBorder="1" applyProtection="1">
      <alignment/>
      <protection/>
    </xf>
    <xf numFmtId="0" fontId="2" fillId="0" borderId="19" xfId="52" applyFont="1" applyFill="1" applyBorder="1" applyAlignment="1" applyProtection="1">
      <alignment horizontal="left" wrapText="1"/>
      <protection/>
    </xf>
    <xf numFmtId="3" fontId="1" fillId="0" borderId="19" xfId="52" applyNumberFormat="1" applyFont="1" applyFill="1" applyBorder="1" applyProtection="1">
      <alignment/>
      <protection/>
    </xf>
    <xf numFmtId="3" fontId="1" fillId="0" borderId="19" xfId="52" applyNumberFormat="1" applyFont="1" applyFill="1" applyBorder="1" applyAlignment="1" applyProtection="1">
      <alignment horizontal="center"/>
      <protection/>
    </xf>
    <xf numFmtId="0" fontId="2" fillId="0" borderId="0" xfId="52" applyFont="1" applyFill="1" applyAlignment="1">
      <alignment wrapText="1"/>
      <protection/>
    </xf>
    <xf numFmtId="3" fontId="2" fillId="0" borderId="0" xfId="52" applyNumberFormat="1" applyFont="1" applyFill="1">
      <alignment/>
      <protection/>
    </xf>
    <xf numFmtId="0" fontId="0" fillId="0" borderId="0" xfId="55" applyFont="1">
      <alignment/>
      <protection/>
    </xf>
    <xf numFmtId="49" fontId="1" fillId="0" borderId="10" xfId="52" applyNumberFormat="1" applyFont="1" applyFill="1" applyBorder="1">
      <alignment/>
      <protection/>
    </xf>
    <xf numFmtId="0" fontId="1" fillId="0" borderId="11" xfId="52" applyFont="1" applyFill="1" applyBorder="1" applyAlignment="1">
      <alignment wrapText="1"/>
      <protection/>
    </xf>
    <xf numFmtId="3" fontId="1" fillId="0" borderId="11" xfId="52" applyNumberFormat="1" applyFont="1" applyFill="1" applyBorder="1">
      <alignment/>
      <protection/>
    </xf>
    <xf numFmtId="3" fontId="1" fillId="0" borderId="12" xfId="52" applyNumberFormat="1" applyFont="1" applyFill="1" applyBorder="1">
      <alignment/>
      <protection/>
    </xf>
    <xf numFmtId="49" fontId="1" fillId="0" borderId="10" xfId="52" applyNumberFormat="1" applyFont="1" applyFill="1" applyBorder="1" applyAlignment="1">
      <alignment horizontal="left"/>
      <protection/>
    </xf>
    <xf numFmtId="0" fontId="1" fillId="0" borderId="11" xfId="52" applyFont="1" applyFill="1" applyBorder="1" applyAlignment="1">
      <alignment horizontal="left" wrapText="1"/>
      <protection/>
    </xf>
    <xf numFmtId="0" fontId="2" fillId="0" borderId="10" xfId="52" applyFont="1" applyFill="1" applyBorder="1">
      <alignment/>
      <protection/>
    </xf>
    <xf numFmtId="3" fontId="1" fillId="0" borderId="11" xfId="52" applyNumberFormat="1" applyFont="1" applyFill="1" applyBorder="1" applyAlignment="1">
      <alignment wrapText="1"/>
      <protection/>
    </xf>
    <xf numFmtId="0" fontId="1" fillId="0" borderId="0" xfId="55" applyFont="1" applyBorder="1" applyProtection="1">
      <alignment/>
      <protection/>
    </xf>
    <xf numFmtId="0" fontId="1" fillId="0" borderId="0" xfId="55" applyFont="1" applyBorder="1" applyAlignment="1">
      <alignment wrapText="1"/>
      <protection/>
    </xf>
    <xf numFmtId="3" fontId="2" fillId="0" borderId="0" xfId="52" applyNumberFormat="1" applyFont="1" applyBorder="1">
      <alignment/>
      <protection/>
    </xf>
    <xf numFmtId="0" fontId="2" fillId="0" borderId="0" xfId="52" applyFont="1" applyBorder="1">
      <alignment/>
      <protection/>
    </xf>
    <xf numFmtId="0" fontId="2" fillId="0" borderId="0" xfId="52" applyFont="1">
      <alignment/>
      <protection/>
    </xf>
    <xf numFmtId="3" fontId="1" fillId="0" borderId="0" xfId="52" applyNumberFormat="1" applyFont="1" applyFill="1">
      <alignment/>
      <protection/>
    </xf>
    <xf numFmtId="0" fontId="2" fillId="0" borderId="0" xfId="52" applyFont="1" applyFill="1" applyBorder="1" applyAlignment="1">
      <alignment wrapText="1"/>
      <protection/>
    </xf>
    <xf numFmtId="3" fontId="2" fillId="0" borderId="0" xfId="52" applyNumberFormat="1" applyFont="1" applyFill="1" applyBorder="1">
      <alignment/>
      <protection/>
    </xf>
    <xf numFmtId="3" fontId="1" fillId="0" borderId="0" xfId="52" applyNumberFormat="1" applyFont="1" applyBorder="1">
      <alignment/>
      <protection/>
    </xf>
    <xf numFmtId="0" fontId="1" fillId="0" borderId="41" xfId="52" applyFont="1" applyBorder="1" applyAlignment="1">
      <alignment horizontal="left"/>
      <protection/>
    </xf>
    <xf numFmtId="0" fontId="1" fillId="0" borderId="38" xfId="52" applyFont="1" applyBorder="1" applyAlignment="1">
      <alignment wrapText="1"/>
      <protection/>
    </xf>
    <xf numFmtId="0" fontId="1" fillId="0" borderId="38" xfId="52" applyFont="1" applyBorder="1">
      <alignment/>
      <protection/>
    </xf>
    <xf numFmtId="0" fontId="1" fillId="0" borderId="38" xfId="52" applyFont="1" applyFill="1" applyBorder="1">
      <alignment/>
      <protection/>
    </xf>
    <xf numFmtId="0" fontId="1" fillId="0" borderId="39" xfId="52" applyFont="1" applyFill="1" applyBorder="1">
      <alignment/>
      <protection/>
    </xf>
    <xf numFmtId="0" fontId="1" fillId="0" borderId="42" xfId="52" applyFont="1" applyFill="1" applyBorder="1">
      <alignment/>
      <protection/>
    </xf>
    <xf numFmtId="0" fontId="1" fillId="0" borderId="28" xfId="52" applyFont="1" applyBorder="1" applyAlignment="1">
      <alignment horizontal="left"/>
      <protection/>
    </xf>
    <xf numFmtId="0" fontId="1" fillId="0" borderId="24" xfId="52" applyFont="1" applyBorder="1" applyAlignment="1">
      <alignment wrapText="1"/>
      <protection/>
    </xf>
    <xf numFmtId="0" fontId="1" fillId="0" borderId="24" xfId="52" applyFont="1" applyBorder="1">
      <alignment/>
      <protection/>
    </xf>
    <xf numFmtId="0" fontId="1" fillId="0" borderId="24" xfId="52" applyFont="1" applyFill="1" applyBorder="1">
      <alignment/>
      <protection/>
    </xf>
    <xf numFmtId="0" fontId="1" fillId="0" borderId="25" xfId="52" applyFont="1" applyFill="1" applyBorder="1">
      <alignment/>
      <protection/>
    </xf>
    <xf numFmtId="0" fontId="1" fillId="0" borderId="43" xfId="52" applyFont="1" applyFill="1" applyBorder="1">
      <alignment/>
      <protection/>
    </xf>
    <xf numFmtId="0" fontId="1" fillId="0" borderId="10" xfId="52" applyFont="1" applyBorder="1" applyAlignment="1">
      <alignment horizontal="left"/>
      <protection/>
    </xf>
    <xf numFmtId="0" fontId="1" fillId="0" borderId="11" xfId="52" applyFont="1" applyBorder="1" applyAlignment="1">
      <alignment wrapText="1"/>
      <protection/>
    </xf>
    <xf numFmtId="0" fontId="1" fillId="0" borderId="11" xfId="52" applyFont="1" applyBorder="1">
      <alignment/>
      <protection/>
    </xf>
    <xf numFmtId="0" fontId="1" fillId="0" borderId="11" xfId="52" applyFont="1" applyFill="1" applyBorder="1">
      <alignment/>
      <protection/>
    </xf>
    <xf numFmtId="0" fontId="1" fillId="0" borderId="12" xfId="52" applyFont="1" applyFill="1" applyBorder="1">
      <alignment/>
      <protection/>
    </xf>
    <xf numFmtId="0" fontId="1" fillId="0" borderId="14" xfId="52" applyFont="1" applyFill="1" applyBorder="1">
      <alignment/>
      <protection/>
    </xf>
    <xf numFmtId="0" fontId="1" fillId="0" borderId="27" xfId="52" applyFont="1" applyBorder="1" applyAlignment="1">
      <alignment horizontal="left"/>
      <protection/>
    </xf>
    <xf numFmtId="0" fontId="1" fillId="0" borderId="15" xfId="52" applyFont="1" applyBorder="1" applyAlignment="1">
      <alignment wrapText="1"/>
      <protection/>
    </xf>
    <xf numFmtId="0" fontId="1" fillId="0" borderId="15" xfId="52" applyFont="1" applyBorder="1">
      <alignment/>
      <protection/>
    </xf>
    <xf numFmtId="0" fontId="1" fillId="0" borderId="16" xfId="52" applyFont="1" applyBorder="1">
      <alignment/>
      <protection/>
    </xf>
    <xf numFmtId="0" fontId="1" fillId="0" borderId="17" xfId="52" applyFont="1" applyFill="1" applyBorder="1">
      <alignment/>
      <protection/>
    </xf>
    <xf numFmtId="0" fontId="1" fillId="0" borderId="18" xfId="52" applyFont="1" applyBorder="1" applyAlignment="1">
      <alignment horizontal="left"/>
      <protection/>
    </xf>
    <xf numFmtId="0" fontId="1" fillId="0" borderId="19" xfId="52" applyFont="1" applyBorder="1" applyAlignment="1">
      <alignment wrapText="1"/>
      <protection/>
    </xf>
    <xf numFmtId="0" fontId="1" fillId="0" borderId="19" xfId="52" applyFont="1" applyBorder="1">
      <alignment/>
      <protection/>
    </xf>
    <xf numFmtId="0" fontId="1" fillId="0" borderId="19" xfId="52" applyFont="1" applyFill="1" applyBorder="1">
      <alignment/>
      <protection/>
    </xf>
    <xf numFmtId="0" fontId="1" fillId="0" borderId="20" xfId="52" applyFont="1" applyFill="1" applyBorder="1">
      <alignment/>
      <protection/>
    </xf>
    <xf numFmtId="0" fontId="1" fillId="0" borderId="21" xfId="52" applyFont="1" applyFill="1" applyBorder="1">
      <alignment/>
      <protection/>
    </xf>
    <xf numFmtId="0" fontId="1" fillId="0" borderId="21" xfId="52" applyFont="1" applyBorder="1">
      <alignment/>
      <protection/>
    </xf>
    <xf numFmtId="0" fontId="2" fillId="0" borderId="10" xfId="52" applyFont="1" applyBorder="1">
      <alignment/>
      <protection/>
    </xf>
    <xf numFmtId="0" fontId="1" fillId="0" borderId="11" xfId="52" applyFont="1" applyBorder="1" applyAlignment="1">
      <alignment horizontal="right"/>
      <protection/>
    </xf>
    <xf numFmtId="3" fontId="2" fillId="0" borderId="0" xfId="52" applyNumberFormat="1" applyFont="1" applyBorder="1" applyAlignment="1">
      <alignment horizontal="right" wrapText="1"/>
      <protection/>
    </xf>
    <xf numFmtId="0" fontId="2" fillId="0" borderId="0" xfId="52" applyFont="1" applyAlignment="1">
      <alignment wrapText="1"/>
      <protection/>
    </xf>
    <xf numFmtId="0" fontId="2" fillId="0" borderId="0" xfId="52" applyFont="1" applyFill="1" applyBorder="1">
      <alignment/>
      <protection/>
    </xf>
    <xf numFmtId="0" fontId="1" fillId="0" borderId="0" xfId="52" applyFont="1" applyFill="1" applyBorder="1" applyProtection="1">
      <alignment/>
      <protection/>
    </xf>
    <xf numFmtId="0" fontId="2" fillId="0" borderId="0" xfId="52" applyFont="1" applyFill="1" applyBorder="1" applyAlignment="1" applyProtection="1">
      <alignment horizontal="left" wrapText="1"/>
      <protection/>
    </xf>
    <xf numFmtId="3" fontId="1" fillId="0" borderId="0" xfId="52" applyNumberFormat="1" applyFont="1" applyFill="1" applyBorder="1" applyProtection="1">
      <alignment/>
      <protection/>
    </xf>
    <xf numFmtId="3" fontId="1" fillId="0" borderId="0" xfId="52" applyNumberFormat="1" applyFont="1" applyFill="1" applyBorder="1" applyAlignment="1" applyProtection="1">
      <alignment horizontal="center"/>
      <protection/>
    </xf>
    <xf numFmtId="1" fontId="1" fillId="0" borderId="0" xfId="52" applyNumberFormat="1" applyFont="1" applyFill="1" applyBorder="1" applyProtection="1">
      <alignment/>
      <protection/>
    </xf>
    <xf numFmtId="0" fontId="1" fillId="0" borderId="0" xfId="52" applyFont="1" applyFill="1" applyBorder="1" applyAlignment="1">
      <alignment horizontal="right"/>
      <protection/>
    </xf>
    <xf numFmtId="3" fontId="1" fillId="0" borderId="0" xfId="52" applyNumberFormat="1" applyFont="1" applyFill="1" applyBorder="1" applyAlignment="1">
      <alignment wrapText="1"/>
      <protection/>
    </xf>
    <xf numFmtId="0" fontId="29" fillId="0" borderId="0" xfId="57" applyFont="1" applyAlignment="1">
      <alignment horizontal="center"/>
      <protection/>
    </xf>
    <xf numFmtId="0" fontId="0" fillId="0" borderId="0" xfId="57">
      <alignment/>
      <protection/>
    </xf>
    <xf numFmtId="0" fontId="31" fillId="0" borderId="19" xfId="57" applyFont="1" applyBorder="1" applyAlignment="1">
      <alignment horizontal="justify" vertical="top" wrapText="1"/>
      <protection/>
    </xf>
    <xf numFmtId="0" fontId="31" fillId="0" borderId="19" xfId="57" applyFont="1" applyBorder="1" applyAlignment="1">
      <alignment horizontal="center" vertical="top" wrapText="1"/>
      <protection/>
    </xf>
    <xf numFmtId="0" fontId="30" fillId="0" borderId="19" xfId="57" applyFont="1" applyBorder="1" applyAlignment="1">
      <alignment vertical="top" wrapText="1"/>
      <protection/>
    </xf>
    <xf numFmtId="0" fontId="30" fillId="0" borderId="19" xfId="55" applyFont="1" applyBorder="1" applyAlignment="1">
      <alignment horizontal="center" vertical="center"/>
      <protection/>
    </xf>
    <xf numFmtId="0" fontId="30" fillId="0" borderId="19" xfId="62" applyNumberFormat="1" applyFont="1" applyBorder="1" applyAlignment="1">
      <alignment horizontal="center" vertical="center"/>
    </xf>
    <xf numFmtId="0" fontId="30" fillId="0" borderId="19" xfId="57" applyFont="1" applyBorder="1" applyAlignment="1">
      <alignment horizontal="center" vertical="center" wrapText="1"/>
      <protection/>
    </xf>
    <xf numFmtId="0" fontId="3" fillId="0" borderId="0" xfId="57" applyFont="1">
      <alignment/>
      <protection/>
    </xf>
    <xf numFmtId="0" fontId="31" fillId="0" borderId="15" xfId="57" applyFont="1" applyBorder="1" applyAlignment="1">
      <alignment horizontal="justify" vertical="top" wrapText="1"/>
      <protection/>
    </xf>
    <xf numFmtId="1" fontId="31" fillId="0" borderId="29" xfId="57" applyNumberFormat="1" applyFont="1" applyBorder="1" applyAlignment="1">
      <alignment horizontal="center" vertical="top" wrapText="1"/>
      <protection/>
    </xf>
    <xf numFmtId="0" fontId="30" fillId="0" borderId="15" xfId="57" applyFont="1" applyBorder="1" applyAlignment="1">
      <alignment horizontal="justify" vertical="top" wrapText="1"/>
      <protection/>
    </xf>
    <xf numFmtId="0" fontId="30" fillId="0" borderId="29" xfId="57" applyFont="1" applyBorder="1" applyAlignment="1">
      <alignment horizontal="center" vertical="top" wrapText="1"/>
      <protection/>
    </xf>
    <xf numFmtId="0" fontId="30" fillId="0" borderId="29" xfId="57" applyFont="1" applyFill="1" applyBorder="1" applyAlignment="1">
      <alignment horizontal="center" vertical="top" wrapText="1"/>
      <protection/>
    </xf>
    <xf numFmtId="0" fontId="30" fillId="0" borderId="22" xfId="57" applyFont="1" applyBorder="1" applyAlignment="1">
      <alignment horizontal="center" vertical="top" wrapText="1"/>
      <protection/>
    </xf>
    <xf numFmtId="0" fontId="32" fillId="0" borderId="29" xfId="57" applyFont="1" applyBorder="1" applyAlignment="1">
      <alignment horizontal="center" vertical="top" wrapText="1"/>
      <protection/>
    </xf>
    <xf numFmtId="0" fontId="32" fillId="0" borderId="29" xfId="57" applyFont="1" applyFill="1" applyBorder="1" applyAlignment="1">
      <alignment horizontal="center" vertical="top" wrapText="1"/>
      <protection/>
    </xf>
    <xf numFmtId="0" fontId="31" fillId="0" borderId="15" xfId="57" applyFont="1" applyBorder="1" applyAlignment="1">
      <alignment vertical="top" wrapText="1"/>
      <protection/>
    </xf>
    <xf numFmtId="0" fontId="31" fillId="0" borderId="29" xfId="57" applyFont="1" applyBorder="1" applyAlignment="1">
      <alignment horizontal="center" vertical="top" wrapText="1"/>
      <protection/>
    </xf>
    <xf numFmtId="0" fontId="30" fillId="0" borderId="0" xfId="57" applyFont="1">
      <alignment/>
      <protection/>
    </xf>
    <xf numFmtId="0" fontId="0" fillId="0" borderId="19" xfId="55" applyFont="1" applyFill="1" applyBorder="1" applyAlignment="1">
      <alignment horizontal="center" vertical="center"/>
      <protection/>
    </xf>
    <xf numFmtId="0" fontId="0" fillId="0" borderId="19" xfId="62" applyNumberFormat="1" applyFont="1" applyFill="1" applyBorder="1" applyAlignment="1">
      <alignment horizontal="center" vertical="center"/>
    </xf>
    <xf numFmtId="0" fontId="33" fillId="0" borderId="15" xfId="57" applyFont="1" applyBorder="1" applyAlignment="1">
      <alignment horizontal="justify" vertical="top" wrapText="1"/>
      <protection/>
    </xf>
    <xf numFmtId="0" fontId="33" fillId="0" borderId="29" xfId="57" applyFont="1" applyBorder="1" applyAlignment="1">
      <alignment horizontal="center" vertical="top" wrapText="1"/>
      <protection/>
    </xf>
    <xf numFmtId="0" fontId="33" fillId="0" borderId="29" xfId="57" applyFont="1" applyFill="1" applyBorder="1" applyAlignment="1">
      <alignment horizontal="center" vertical="top" wrapText="1"/>
      <protection/>
    </xf>
    <xf numFmtId="0" fontId="33" fillId="0" borderId="22" xfId="57" applyFont="1" applyBorder="1" applyAlignment="1">
      <alignment horizontal="center" vertical="top" wrapText="1"/>
      <protection/>
    </xf>
    <xf numFmtId="0" fontId="34" fillId="0" borderId="29" xfId="57" applyFont="1" applyBorder="1" applyAlignment="1">
      <alignment horizontal="center" vertical="top" wrapText="1"/>
      <protection/>
    </xf>
    <xf numFmtId="0" fontId="30" fillId="0" borderId="0" xfId="57" applyFont="1" applyBorder="1" applyAlignment="1">
      <alignment horizontal="left"/>
      <protection/>
    </xf>
    <xf numFmtId="0" fontId="31" fillId="0" borderId="0" xfId="55" applyFont="1" applyBorder="1" applyProtection="1">
      <alignment/>
      <protection/>
    </xf>
    <xf numFmtId="0" fontId="31" fillId="0" borderId="0" xfId="55" applyFont="1" applyBorder="1" applyAlignment="1">
      <alignment wrapText="1"/>
      <protection/>
    </xf>
    <xf numFmtId="0" fontId="30" fillId="0" borderId="0" xfId="57" applyFont="1">
      <alignment/>
      <protection/>
    </xf>
    <xf numFmtId="0" fontId="30" fillId="0" borderId="0" xfId="55" applyFont="1" applyBorder="1" applyAlignment="1">
      <alignment horizontal="center"/>
      <protection/>
    </xf>
    <xf numFmtId="1" fontId="31" fillId="0" borderId="0" xfId="57" applyNumberFormat="1" applyFont="1" applyBorder="1" applyAlignment="1">
      <alignment horizontal="center" vertical="top" wrapText="1"/>
      <protection/>
    </xf>
    <xf numFmtId="0" fontId="2" fillId="0" borderId="13" xfId="54" applyFont="1" applyFill="1" applyBorder="1" applyAlignment="1">
      <alignment vertical="center" wrapText="1"/>
      <protection/>
    </xf>
    <xf numFmtId="0" fontId="2" fillId="0" borderId="11" xfId="54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left"/>
    </xf>
    <xf numFmtId="3" fontId="2" fillId="0" borderId="22" xfId="0" applyNumberFormat="1" applyFont="1" applyFill="1" applyBorder="1" applyAlignment="1">
      <alignment/>
    </xf>
    <xf numFmtId="190" fontId="2" fillId="0" borderId="19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0" fontId="2" fillId="0" borderId="28" xfId="0" applyFont="1" applyFill="1" applyBorder="1" applyAlignment="1">
      <alignment horizontal="left"/>
    </xf>
    <xf numFmtId="3" fontId="1" fillId="0" borderId="44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left"/>
    </xf>
    <xf numFmtId="0" fontId="2" fillId="0" borderId="15" xfId="0" applyFont="1" applyFill="1" applyBorder="1" applyAlignment="1">
      <alignment wrapText="1"/>
    </xf>
    <xf numFmtId="1" fontId="2" fillId="0" borderId="29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/>
    </xf>
    <xf numFmtId="3" fontId="2" fillId="0" borderId="45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6" fillId="0" borderId="0" xfId="0" applyFont="1" applyFill="1" applyAlignment="1">
      <alignment/>
    </xf>
    <xf numFmtId="3" fontId="1" fillId="0" borderId="45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" fontId="1" fillId="0" borderId="47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180" fontId="2" fillId="0" borderId="3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180" fontId="1" fillId="0" borderId="23" xfId="0" applyNumberFormat="1" applyFont="1" applyFill="1" applyBorder="1" applyAlignment="1">
      <alignment/>
    </xf>
    <xf numFmtId="180" fontId="1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3" fontId="1" fillId="0" borderId="48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left" wrapText="1"/>
    </xf>
    <xf numFmtId="180" fontId="2" fillId="0" borderId="49" xfId="0" applyNumberFormat="1" applyFont="1" applyFill="1" applyBorder="1" applyAlignment="1">
      <alignment/>
    </xf>
    <xf numFmtId="1" fontId="1" fillId="0" borderId="50" xfId="0" applyNumberFormat="1" applyFont="1" applyFill="1" applyBorder="1" applyAlignment="1">
      <alignment/>
    </xf>
    <xf numFmtId="180" fontId="1" fillId="0" borderId="38" xfId="0" applyNumberFormat="1" applyFont="1" applyFill="1" applyBorder="1" applyAlignment="1">
      <alignment/>
    </xf>
    <xf numFmtId="1" fontId="1" fillId="0" borderId="38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2" fillId="0" borderId="3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6" fillId="0" borderId="0" xfId="52" applyFont="1" applyFill="1" applyBorder="1" applyAlignment="1">
      <alignment horizontal="right" wrapText="1"/>
      <protection/>
    </xf>
    <xf numFmtId="0" fontId="26" fillId="0" borderId="0" xfId="0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3" fontId="36" fillId="0" borderId="0" xfId="0" applyNumberFormat="1" applyFont="1" applyFill="1" applyAlignment="1">
      <alignment/>
    </xf>
    <xf numFmtId="0" fontId="1" fillId="0" borderId="41" xfId="0" applyFont="1" applyFill="1" applyBorder="1" applyAlignment="1">
      <alignment horizontal="left"/>
    </xf>
    <xf numFmtId="0" fontId="2" fillId="0" borderId="38" xfId="0" applyFont="1" applyFill="1" applyBorder="1" applyAlignment="1">
      <alignment wrapText="1"/>
    </xf>
    <xf numFmtId="0" fontId="1" fillId="0" borderId="4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0" fontId="1" fillId="0" borderId="33" xfId="0" applyFont="1" applyFill="1" applyBorder="1" applyAlignment="1">
      <alignment/>
    </xf>
    <xf numFmtId="49" fontId="2" fillId="0" borderId="27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left"/>
    </xf>
    <xf numFmtId="3" fontId="2" fillId="0" borderId="29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0" fontId="2" fillId="0" borderId="19" xfId="0" applyFont="1" applyFill="1" applyBorder="1" applyAlignment="1" applyProtection="1">
      <alignment horizontal="left" vertical="center" wrapText="1"/>
      <protection/>
    </xf>
    <xf numFmtId="3" fontId="1" fillId="0" borderId="21" xfId="0" applyNumberFormat="1" applyFont="1" applyFill="1" applyBorder="1" applyAlignment="1">
      <alignment/>
    </xf>
    <xf numFmtId="180" fontId="2" fillId="0" borderId="45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80" fontId="2" fillId="0" borderId="20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 wrapText="1"/>
    </xf>
    <xf numFmtId="0" fontId="2" fillId="0" borderId="0" xfId="52" applyFont="1" applyFill="1" applyBorder="1" applyAlignment="1">
      <alignment horizontal="left" wrapText="1"/>
      <protection/>
    </xf>
    <xf numFmtId="49" fontId="2" fillId="0" borderId="0" xfId="0" applyNumberFormat="1" applyFont="1" applyFill="1" applyAlignment="1">
      <alignment horizontal="center" wrapText="1"/>
    </xf>
    <xf numFmtId="3" fontId="2" fillId="0" borderId="32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1" fillId="0" borderId="51" xfId="0" applyFont="1" applyFill="1" applyBorder="1" applyAlignment="1">
      <alignment horizontal="left"/>
    </xf>
    <xf numFmtId="0" fontId="2" fillId="0" borderId="31" xfId="0" applyFont="1" applyFill="1" applyBorder="1" applyAlignment="1">
      <alignment wrapText="1"/>
    </xf>
    <xf numFmtId="0" fontId="2" fillId="0" borderId="52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2" fillId="0" borderId="11" xfId="52" applyFont="1" applyFill="1" applyBorder="1" applyAlignment="1" applyProtection="1">
      <alignment horizontal="center" vertical="center" wrapText="1"/>
      <protection/>
    </xf>
    <xf numFmtId="1" fontId="2" fillId="0" borderId="11" xfId="56" applyNumberFormat="1" applyFont="1" applyFill="1" applyBorder="1" applyAlignment="1" applyProtection="1">
      <alignment horizontal="center" vertical="center" wrapText="1"/>
      <protection/>
    </xf>
    <xf numFmtId="0" fontId="2" fillId="0" borderId="11" xfId="56" applyFont="1" applyFill="1" applyBorder="1" applyAlignment="1" applyProtection="1">
      <alignment horizontal="center" vertical="center" wrapText="1"/>
      <protection/>
    </xf>
    <xf numFmtId="0" fontId="2" fillId="0" borderId="13" xfId="53" applyFont="1" applyFill="1" applyBorder="1" applyAlignment="1">
      <alignment vertical="center" wrapText="1"/>
      <protection/>
    </xf>
    <xf numFmtId="0" fontId="2" fillId="0" borderId="11" xfId="53" applyFont="1" applyFill="1" applyBorder="1" applyAlignment="1">
      <alignment vertical="center" wrapText="1"/>
      <protection/>
    </xf>
    <xf numFmtId="49" fontId="1" fillId="0" borderId="10" xfId="56" applyNumberFormat="1" applyFont="1" applyFill="1" applyBorder="1" applyAlignment="1">
      <alignment horizontal="left"/>
      <protection/>
    </xf>
    <xf numFmtId="0" fontId="1" fillId="0" borderId="11" xfId="56" applyFont="1" applyFill="1" applyBorder="1" applyAlignment="1">
      <alignment wrapText="1"/>
      <protection/>
    </xf>
    <xf numFmtId="0" fontId="1" fillId="0" borderId="15" xfId="52" applyFont="1" applyFill="1" applyBorder="1">
      <alignment/>
      <protection/>
    </xf>
    <xf numFmtId="3" fontId="1" fillId="0" borderId="29" xfId="0" applyNumberFormat="1" applyFont="1" applyFill="1" applyBorder="1" applyAlignment="1">
      <alignment/>
    </xf>
    <xf numFmtId="0" fontId="2" fillId="0" borderId="51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2" fillId="0" borderId="31" xfId="0" applyNumberFormat="1" applyFont="1" applyFill="1" applyBorder="1" applyAlignment="1">
      <alignment/>
    </xf>
    <xf numFmtId="1" fontId="2" fillId="0" borderId="52" xfId="0" applyNumberFormat="1" applyFont="1" applyFill="1" applyBorder="1" applyAlignment="1">
      <alignment/>
    </xf>
    <xf numFmtId="1" fontId="1" fillId="0" borderId="26" xfId="0" applyNumberFormat="1" applyFont="1" applyFill="1" applyBorder="1" applyAlignment="1">
      <alignment/>
    </xf>
    <xf numFmtId="49" fontId="1" fillId="0" borderId="49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wrapText="1"/>
    </xf>
    <xf numFmtId="3" fontId="2" fillId="0" borderId="31" xfId="0" applyNumberFormat="1" applyFont="1" applyFill="1" applyBorder="1" applyAlignment="1">
      <alignment/>
    </xf>
    <xf numFmtId="1" fontId="2" fillId="0" borderId="49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3" fontId="26" fillId="0" borderId="15" xfId="0" applyNumberFormat="1" applyFont="1" applyFill="1" applyBorder="1" applyAlignment="1">
      <alignment/>
    </xf>
    <xf numFmtId="0" fontId="2" fillId="0" borderId="0" xfId="52" applyFont="1" applyFill="1" applyBorder="1" applyAlignment="1">
      <alignment horizontal="right" wrapText="1"/>
      <protection/>
    </xf>
    <xf numFmtId="49" fontId="2" fillId="0" borderId="18" xfId="0" applyNumberFormat="1" applyFont="1" applyFill="1" applyBorder="1" applyAlignment="1">
      <alignment horizontal="center"/>
    </xf>
    <xf numFmtId="3" fontId="2" fillId="0" borderId="19" xfId="52" applyNumberFormat="1" applyFont="1" applyFill="1" applyBorder="1" applyAlignment="1">
      <alignment horizontal="center"/>
      <protection/>
    </xf>
    <xf numFmtId="0" fontId="30" fillId="0" borderId="29" xfId="57" applyFont="1" applyBorder="1" applyAlignment="1">
      <alignment horizontal="center" vertical="top" wrapText="1"/>
      <protection/>
    </xf>
    <xf numFmtId="3" fontId="1" fillId="0" borderId="19" xfId="52" applyNumberFormat="1" applyFont="1" applyFill="1" applyBorder="1" applyAlignment="1">
      <alignment horizontal="right"/>
      <protection/>
    </xf>
    <xf numFmtId="3" fontId="1" fillId="0" borderId="12" xfId="52" applyNumberFormat="1" applyFont="1" applyFill="1" applyBorder="1" applyAlignment="1">
      <alignment horizontal="right"/>
      <protection/>
    </xf>
    <xf numFmtId="0" fontId="0" fillId="0" borderId="0" xfId="57" applyFont="1">
      <alignment/>
      <protection/>
    </xf>
    <xf numFmtId="3" fontId="2" fillId="0" borderId="21" xfId="52" applyNumberFormat="1" applyFont="1" applyFill="1" applyBorder="1">
      <alignment/>
      <protection/>
    </xf>
    <xf numFmtId="1" fontId="2" fillId="0" borderId="30" xfId="0" applyNumberFormat="1" applyFont="1" applyFill="1" applyBorder="1" applyAlignment="1">
      <alignment/>
    </xf>
    <xf numFmtId="0" fontId="2" fillId="0" borderId="45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80" fontId="2" fillId="0" borderId="0" xfId="0" applyNumberFormat="1" applyFont="1" applyFill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35" fillId="0" borderId="0" xfId="0" applyFont="1" applyFill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48" xfId="52" applyFont="1" applyBorder="1" applyAlignment="1">
      <alignment horizontal="center" wrapText="1"/>
      <protection/>
    </xf>
    <xf numFmtId="0" fontId="4" fillId="0" borderId="48" xfId="52" applyFont="1" applyFill="1" applyBorder="1" applyAlignment="1">
      <alignment horizontal="center" wrapText="1"/>
      <protection/>
    </xf>
    <xf numFmtId="0" fontId="30" fillId="0" borderId="24" xfId="57" applyFont="1" applyBorder="1" applyAlignment="1">
      <alignment horizontal="center" vertical="top" wrapText="1"/>
      <protection/>
    </xf>
    <xf numFmtId="0" fontId="30" fillId="0" borderId="15" xfId="57" applyFont="1" applyBorder="1" applyAlignment="1">
      <alignment horizontal="center" vertical="top" wrapText="1"/>
      <protection/>
    </xf>
    <xf numFmtId="0" fontId="29" fillId="0" borderId="0" xfId="57" applyFont="1" applyAlignment="1">
      <alignment horizontal="center"/>
      <protection/>
    </xf>
    <xf numFmtId="0" fontId="29" fillId="0" borderId="45" xfId="57" applyFont="1" applyBorder="1" applyAlignment="1">
      <alignment horizontal="center"/>
      <protection/>
    </xf>
    <xf numFmtId="0" fontId="30" fillId="0" borderId="19" xfId="57" applyFont="1" applyBorder="1" applyAlignment="1">
      <alignment horizontal="center" vertical="top" wrapText="1"/>
      <protection/>
    </xf>
    <xf numFmtId="0" fontId="30" fillId="0" borderId="56" xfId="57" applyFont="1" applyBorder="1" applyAlignment="1">
      <alignment horizontal="left"/>
      <protection/>
    </xf>
    <xf numFmtId="0" fontId="30" fillId="0" borderId="0" xfId="57" applyFont="1" applyBorder="1" applyAlignment="1">
      <alignment horizontal="left"/>
      <protection/>
    </xf>
    <xf numFmtId="0" fontId="4" fillId="0" borderId="0" xfId="52" applyFont="1" applyFill="1" applyAlignment="1">
      <alignment horizontal="left"/>
      <protection/>
    </xf>
  </cellXfs>
  <cellStyles count="56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Comma" xfId="35"/>
    <cellStyle name="Comma [0]" xfId="36"/>
    <cellStyle name="Currency" xfId="37"/>
    <cellStyle name="Currency [0]" xfId="38"/>
    <cellStyle name="Followed Hyperlink" xfId="39"/>
    <cellStyle name="Hyperlink" xfId="40"/>
    <cellStyle name="Ievade" xfId="41"/>
    <cellStyle name="Izcēlums1" xfId="42"/>
    <cellStyle name="Izcēlums2" xfId="43"/>
    <cellStyle name="Izcēlums3" xfId="44"/>
    <cellStyle name="Izcēlums4" xfId="45"/>
    <cellStyle name="Izcēlums5" xfId="46"/>
    <cellStyle name="Izcēlums6" xfId="47"/>
    <cellStyle name="Izvade" xfId="48"/>
    <cellStyle name="Kopsumma" xfId="49"/>
    <cellStyle name="Labs" xfId="50"/>
    <cellStyle name="Neitrāls" xfId="51"/>
    <cellStyle name="Normal_2009.g plāns apst" xfId="52"/>
    <cellStyle name="Normal_Sheet1" xfId="53"/>
    <cellStyle name="Normal_Sheet1_Pielikumi oktobra korekcijam" xfId="54"/>
    <cellStyle name="Normal_Specb.2009.g. decembra korekcijas saīsin." xfId="55"/>
    <cellStyle name="Normal_Specb.ziedoj.un davin. 2011.g. decembra korekcijas" xfId="56"/>
    <cellStyle name="Normal_Specbudz.kopsavilkums 2006.g un korekc." xfId="57"/>
    <cellStyle name="Nosaukums" xfId="58"/>
    <cellStyle name="Parasts 2" xfId="59"/>
    <cellStyle name="Pārbaudes šūna" xfId="60"/>
    <cellStyle name="Paskaidrojošs teksts" xfId="61"/>
    <cellStyle name="Percent" xfId="62"/>
    <cellStyle name="Piezīme" xfId="63"/>
    <cellStyle name="Saistīta šūna" xfId="64"/>
    <cellStyle name="Slikts" xfId="65"/>
    <cellStyle name="Virsraksts 1" xfId="66"/>
    <cellStyle name="Virsraksts 2" xfId="67"/>
    <cellStyle name="Virsraksts 3" xfId="68"/>
    <cellStyle name="Virsraksts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ilvija\2006.g.bud&#382;ets\Materi&#257;li%20domes%20s&#275;dei\Budzeta%20proj%202006.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žets"/>
      <sheetName val="Tautsaimn."/>
      <sheetName val="X-copy"/>
      <sheetName val="Projekt.darbi"/>
      <sheetName val="TS atšifr."/>
      <sheetName val="Sheet12"/>
      <sheetName val="Sheet13"/>
      <sheetName val="Sheet14"/>
      <sheetName val="Sheet15"/>
      <sheetName val="Sheet16"/>
    </sheetNames>
    <sheetDataSet>
      <sheetData sheetId="0">
        <row r="436">
          <cell r="H436" t="str">
            <v>S.Velberga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4"/>
  <sheetViews>
    <sheetView tabSelected="1" zoomScalePageLayoutView="0" workbookViewId="0" topLeftCell="A6">
      <pane ySplit="2520" topLeftCell="BM113" activePane="bottomLeft" state="split"/>
      <selection pane="topLeft" activeCell="A215" sqref="A215:IV215"/>
      <selection pane="bottomLeft" activeCell="B150" sqref="B150"/>
    </sheetView>
  </sheetViews>
  <sheetFormatPr defaultColWidth="9.140625" defaultRowHeight="12.75"/>
  <cols>
    <col min="1" max="1" width="11.28125" style="1" customWidth="1"/>
    <col min="2" max="2" width="41.00390625" style="2" customWidth="1"/>
    <col min="3" max="3" width="13.28125" style="1" customWidth="1"/>
    <col min="4" max="4" width="11.00390625" style="3" customWidth="1"/>
    <col min="5" max="5" width="10.7109375" style="1" customWidth="1"/>
    <col min="6" max="6" width="11.00390625" style="1" customWidth="1"/>
    <col min="7" max="7" width="12.00390625" style="1" customWidth="1"/>
    <col min="8" max="8" width="10.57421875" style="1" bestFit="1" customWidth="1"/>
    <col min="9" max="9" width="9.57421875" style="1" customWidth="1"/>
    <col min="10" max="10" width="9.7109375" style="1" customWidth="1"/>
    <col min="11" max="11" width="10.57421875" style="1" customWidth="1"/>
    <col min="12" max="12" width="9.57421875" style="1" customWidth="1"/>
    <col min="13" max="13" width="10.7109375" style="1" customWidth="1"/>
    <col min="14" max="14" width="10.8515625" style="1" customWidth="1"/>
    <col min="15" max="15" width="13.00390625" style="5" customWidth="1"/>
    <col min="16" max="16" width="10.8515625" style="406" customWidth="1"/>
    <col min="17" max="17" width="11.28125" style="1" bestFit="1" customWidth="1"/>
    <col min="18" max="16384" width="9.140625" style="1" customWidth="1"/>
  </cols>
  <sheetData>
    <row r="1" spans="6:8" ht="15">
      <c r="F1" s="4"/>
      <c r="G1" s="4"/>
      <c r="H1" s="4" t="s">
        <v>460</v>
      </c>
    </row>
    <row r="2" spans="1:8" ht="15">
      <c r="A2" s="6"/>
      <c r="F2" s="6"/>
      <c r="G2" s="6"/>
      <c r="H2" s="6" t="s">
        <v>461</v>
      </c>
    </row>
    <row r="3" spans="1:8" ht="15">
      <c r="A3" s="6"/>
      <c r="F3" s="6"/>
      <c r="G3" s="6"/>
      <c r="H3" s="6" t="s">
        <v>462</v>
      </c>
    </row>
    <row r="5" spans="1:6" ht="20.25">
      <c r="A5" s="419" t="s">
        <v>417</v>
      </c>
      <c r="B5" s="419"/>
      <c r="C5" s="419"/>
      <c r="D5" s="419"/>
      <c r="E5" s="419"/>
      <c r="F5" s="419"/>
    </row>
    <row r="6" spans="1:14" ht="15.75" thickBot="1">
      <c r="A6" s="6"/>
      <c r="B6" s="7"/>
      <c r="C6" s="6"/>
      <c r="N6" s="144"/>
    </row>
    <row r="7" spans="1:17" ht="97.5" customHeight="1" thickBot="1">
      <c r="A7" s="8" t="s">
        <v>1</v>
      </c>
      <c r="B7" s="9" t="s">
        <v>169</v>
      </c>
      <c r="C7" s="10" t="s">
        <v>381</v>
      </c>
      <c r="D7" s="11" t="s">
        <v>382</v>
      </c>
      <c r="E7" s="10" t="s">
        <v>383</v>
      </c>
      <c r="F7" s="12" t="s">
        <v>384</v>
      </c>
      <c r="G7" s="10" t="s">
        <v>385</v>
      </c>
      <c r="H7" s="296" t="s">
        <v>386</v>
      </c>
      <c r="I7" s="297" t="s">
        <v>387</v>
      </c>
      <c r="J7" s="297" t="s">
        <v>388</v>
      </c>
      <c r="K7" s="297" t="s">
        <v>389</v>
      </c>
      <c r="L7" s="297" t="s">
        <v>390</v>
      </c>
      <c r="M7" s="297" t="s">
        <v>455</v>
      </c>
      <c r="N7" s="297" t="s">
        <v>391</v>
      </c>
      <c r="O7" s="15" t="s">
        <v>392</v>
      </c>
      <c r="P7" s="407"/>
      <c r="Q7" s="407"/>
    </row>
    <row r="8" spans="1:17" ht="15.75" thickBot="1">
      <c r="A8" s="298"/>
      <c r="B8" s="82" t="s">
        <v>24</v>
      </c>
      <c r="C8" s="83">
        <f aca="true" t="shared" si="0" ref="C8:N8">C9+C12+C17</f>
        <v>20109728</v>
      </c>
      <c r="D8" s="83">
        <f t="shared" si="0"/>
        <v>0</v>
      </c>
      <c r="E8" s="83">
        <f t="shared" si="0"/>
        <v>0</v>
      </c>
      <c r="F8" s="83">
        <f t="shared" si="0"/>
        <v>0</v>
      </c>
      <c r="G8" s="83">
        <f t="shared" si="0"/>
        <v>0</v>
      </c>
      <c r="H8" s="309">
        <f t="shared" si="0"/>
        <v>92486</v>
      </c>
      <c r="I8" s="83">
        <f t="shared" si="0"/>
        <v>33829</v>
      </c>
      <c r="J8" s="83">
        <f t="shared" si="0"/>
        <v>43397</v>
      </c>
      <c r="K8" s="83">
        <f t="shared" si="0"/>
        <v>75863</v>
      </c>
      <c r="L8" s="83">
        <f t="shared" si="0"/>
        <v>37883</v>
      </c>
      <c r="M8" s="83">
        <f t="shared" si="0"/>
        <v>82544</v>
      </c>
      <c r="N8" s="83">
        <f t="shared" si="0"/>
        <v>28315</v>
      </c>
      <c r="O8" s="85">
        <f aca="true" t="shared" si="1" ref="O8:O42">SUM(C8:N8)</f>
        <v>20504045</v>
      </c>
      <c r="P8" s="408"/>
      <c r="Q8" s="76"/>
    </row>
    <row r="9" spans="1:17" ht="29.25">
      <c r="A9" s="299" t="s">
        <v>25</v>
      </c>
      <c r="B9" s="115" t="s">
        <v>170</v>
      </c>
      <c r="C9" s="57">
        <f aca="true" t="shared" si="2" ref="C9:N9">SUM(C10:C11)</f>
        <v>18797719</v>
      </c>
      <c r="D9" s="57">
        <f t="shared" si="2"/>
        <v>0</v>
      </c>
      <c r="E9" s="57">
        <f t="shared" si="2"/>
        <v>0</v>
      </c>
      <c r="F9" s="57">
        <f t="shared" si="2"/>
        <v>0</v>
      </c>
      <c r="G9" s="57">
        <f t="shared" si="2"/>
        <v>0</v>
      </c>
      <c r="H9" s="355">
        <f t="shared" si="2"/>
        <v>0</v>
      </c>
      <c r="I9" s="57">
        <f t="shared" si="2"/>
        <v>0</v>
      </c>
      <c r="J9" s="57">
        <f t="shared" si="2"/>
        <v>0</v>
      </c>
      <c r="K9" s="57">
        <f t="shared" si="2"/>
        <v>0</v>
      </c>
      <c r="L9" s="57">
        <f t="shared" si="2"/>
        <v>0</v>
      </c>
      <c r="M9" s="57">
        <f t="shared" si="2"/>
        <v>0</v>
      </c>
      <c r="N9" s="57">
        <f t="shared" si="2"/>
        <v>0</v>
      </c>
      <c r="O9" s="19">
        <f t="shared" si="1"/>
        <v>18797719</v>
      </c>
      <c r="P9" s="408"/>
      <c r="Q9" s="76"/>
    </row>
    <row r="10" spans="1:16" ht="43.5">
      <c r="A10" s="25" t="s">
        <v>226</v>
      </c>
      <c r="B10" s="21" t="s">
        <v>227</v>
      </c>
      <c r="C10" s="22">
        <v>150143</v>
      </c>
      <c r="D10" s="22"/>
      <c r="E10" s="22"/>
      <c r="F10" s="23"/>
      <c r="G10" s="22"/>
      <c r="H10" s="300"/>
      <c r="I10" s="22"/>
      <c r="J10" s="22"/>
      <c r="K10" s="22"/>
      <c r="L10" s="22"/>
      <c r="M10" s="22"/>
      <c r="N10" s="22"/>
      <c r="O10" s="19">
        <f t="shared" si="1"/>
        <v>150143</v>
      </c>
      <c r="P10" s="408"/>
    </row>
    <row r="11" spans="1:17" ht="43.5">
      <c r="A11" s="25" t="s">
        <v>228</v>
      </c>
      <c r="B11" s="21" t="s">
        <v>229</v>
      </c>
      <c r="C11" s="22">
        <v>18647576</v>
      </c>
      <c r="D11" s="22"/>
      <c r="E11" s="301"/>
      <c r="F11" s="23"/>
      <c r="G11" s="22"/>
      <c r="H11" s="300"/>
      <c r="I11" s="22"/>
      <c r="J11" s="22"/>
      <c r="K11" s="22"/>
      <c r="L11" s="22"/>
      <c r="M11" s="22"/>
      <c r="N11" s="22"/>
      <c r="O11" s="19">
        <f t="shared" si="1"/>
        <v>18647576</v>
      </c>
      <c r="P11" s="408"/>
      <c r="Q11" s="76"/>
    </row>
    <row r="12" spans="1:17" ht="15">
      <c r="A12" s="20" t="s">
        <v>171</v>
      </c>
      <c r="B12" s="21" t="s">
        <v>172</v>
      </c>
      <c r="C12" s="22">
        <f>C13</f>
        <v>1255094</v>
      </c>
      <c r="D12" s="22"/>
      <c r="E12" s="22"/>
      <c r="F12" s="23"/>
      <c r="G12" s="22"/>
      <c r="H12" s="300">
        <f>H13</f>
        <v>92486</v>
      </c>
      <c r="I12" s="300">
        <f aca="true" t="shared" si="3" ref="I12:N12">I13</f>
        <v>33829</v>
      </c>
      <c r="J12" s="300">
        <f t="shared" si="3"/>
        <v>43397</v>
      </c>
      <c r="K12" s="300">
        <f t="shared" si="3"/>
        <v>75863</v>
      </c>
      <c r="L12" s="300">
        <f t="shared" si="3"/>
        <v>37883</v>
      </c>
      <c r="M12" s="300">
        <f t="shared" si="3"/>
        <v>82544</v>
      </c>
      <c r="N12" s="300">
        <f t="shared" si="3"/>
        <v>28315</v>
      </c>
      <c r="O12" s="19">
        <f t="shared" si="1"/>
        <v>1649411</v>
      </c>
      <c r="P12" s="408"/>
      <c r="Q12" s="76"/>
    </row>
    <row r="13" spans="1:16" ht="15">
      <c r="A13" s="20" t="s">
        <v>26</v>
      </c>
      <c r="B13" s="21" t="s">
        <v>27</v>
      </c>
      <c r="C13" s="22">
        <f>SUM(C14:C16)</f>
        <v>1255094</v>
      </c>
      <c r="D13" s="22"/>
      <c r="E13" s="22"/>
      <c r="F13" s="23"/>
      <c r="G13" s="22"/>
      <c r="H13" s="300">
        <f>SUM(H14:H16)</f>
        <v>92486</v>
      </c>
      <c r="I13" s="22">
        <f aca="true" t="shared" si="4" ref="I13:N13">SUM(I14:I16)</f>
        <v>33829</v>
      </c>
      <c r="J13" s="22">
        <f t="shared" si="4"/>
        <v>43397</v>
      </c>
      <c r="K13" s="22">
        <f t="shared" si="4"/>
        <v>75863</v>
      </c>
      <c r="L13" s="22">
        <f t="shared" si="4"/>
        <v>37883</v>
      </c>
      <c r="M13" s="22">
        <f t="shared" si="4"/>
        <v>82544</v>
      </c>
      <c r="N13" s="22">
        <f t="shared" si="4"/>
        <v>28315</v>
      </c>
      <c r="O13" s="19">
        <f t="shared" si="1"/>
        <v>1649411</v>
      </c>
      <c r="P13" s="408"/>
    </row>
    <row r="14" spans="1:16" ht="15">
      <c r="A14" s="25" t="s">
        <v>2</v>
      </c>
      <c r="B14" s="21" t="s">
        <v>28</v>
      </c>
      <c r="C14" s="26">
        <v>564475</v>
      </c>
      <c r="D14" s="26"/>
      <c r="E14" s="26"/>
      <c r="F14" s="26"/>
      <c r="G14" s="27"/>
      <c r="H14" s="302">
        <v>78969</v>
      </c>
      <c r="I14" s="26">
        <v>31114</v>
      </c>
      <c r="J14" s="26">
        <v>39840</v>
      </c>
      <c r="K14" s="26">
        <v>68195</v>
      </c>
      <c r="L14" s="26">
        <v>33465</v>
      </c>
      <c r="M14" s="27">
        <f>30411+48378</f>
        <v>78789</v>
      </c>
      <c r="N14" s="27">
        <v>27035</v>
      </c>
      <c r="O14" s="19">
        <f t="shared" si="1"/>
        <v>921882</v>
      </c>
      <c r="P14" s="408"/>
    </row>
    <row r="15" spans="1:16" ht="15">
      <c r="A15" s="25" t="s">
        <v>3</v>
      </c>
      <c r="B15" s="21" t="s">
        <v>29</v>
      </c>
      <c r="C15" s="26">
        <v>399870</v>
      </c>
      <c r="D15" s="26"/>
      <c r="E15" s="26"/>
      <c r="F15" s="26"/>
      <c r="G15" s="27"/>
      <c r="H15" s="302">
        <v>11810</v>
      </c>
      <c r="I15" s="26">
        <v>1177</v>
      </c>
      <c r="J15" s="26">
        <v>1423</v>
      </c>
      <c r="K15" s="26">
        <v>2930</v>
      </c>
      <c r="L15" s="26">
        <v>2427</v>
      </c>
      <c r="M15" s="26">
        <f>595+1850</f>
        <v>2445</v>
      </c>
      <c r="N15" s="26">
        <v>1280</v>
      </c>
      <c r="O15" s="19">
        <f t="shared" si="1"/>
        <v>423362</v>
      </c>
      <c r="P15" s="408"/>
    </row>
    <row r="16" spans="1:16" ht="29.25">
      <c r="A16" s="25" t="s">
        <v>363</v>
      </c>
      <c r="B16" s="21" t="s">
        <v>364</v>
      </c>
      <c r="C16" s="26">
        <v>290749</v>
      </c>
      <c r="D16" s="26"/>
      <c r="E16" s="26"/>
      <c r="F16" s="26"/>
      <c r="G16" s="27"/>
      <c r="H16" s="302">
        <v>1707</v>
      </c>
      <c r="I16" s="26">
        <v>1538</v>
      </c>
      <c r="J16" s="26">
        <v>2134</v>
      </c>
      <c r="K16" s="26">
        <v>4738</v>
      </c>
      <c r="L16" s="26">
        <v>1991</v>
      </c>
      <c r="M16" s="26">
        <v>1310</v>
      </c>
      <c r="N16" s="26"/>
      <c r="O16" s="19">
        <f t="shared" si="1"/>
        <v>304167</v>
      </c>
      <c r="P16" s="408"/>
    </row>
    <row r="17" spans="1:17" ht="15.75" thickBot="1">
      <c r="A17" s="303" t="s">
        <v>4</v>
      </c>
      <c r="B17" s="43" t="s">
        <v>30</v>
      </c>
      <c r="C17" s="44">
        <v>56915</v>
      </c>
      <c r="D17" s="44"/>
      <c r="E17" s="44"/>
      <c r="F17" s="45"/>
      <c r="G17" s="44"/>
      <c r="H17" s="105"/>
      <c r="I17" s="48"/>
      <c r="J17" s="48"/>
      <c r="K17" s="47"/>
      <c r="L17" s="47"/>
      <c r="M17" s="47"/>
      <c r="N17" s="47"/>
      <c r="O17" s="113">
        <f t="shared" si="1"/>
        <v>56915</v>
      </c>
      <c r="P17" s="408"/>
      <c r="Q17" s="76"/>
    </row>
    <row r="18" spans="1:17" ht="15.75" thickBot="1">
      <c r="A18" s="298"/>
      <c r="B18" s="82" t="s">
        <v>31</v>
      </c>
      <c r="C18" s="83">
        <f aca="true" t="shared" si="5" ref="C18:N18">SUM(C19:C24)</f>
        <v>119755</v>
      </c>
      <c r="D18" s="83">
        <f t="shared" si="5"/>
        <v>1400</v>
      </c>
      <c r="E18" s="83">
        <f t="shared" si="5"/>
        <v>0</v>
      </c>
      <c r="F18" s="83">
        <f t="shared" si="5"/>
        <v>0</v>
      </c>
      <c r="G18" s="83">
        <f t="shared" si="5"/>
        <v>0</v>
      </c>
      <c r="H18" s="304">
        <f t="shared" si="5"/>
        <v>1322</v>
      </c>
      <c r="I18" s="84">
        <f t="shared" si="5"/>
        <v>1209</v>
      </c>
      <c r="J18" s="84">
        <f t="shared" si="5"/>
        <v>641</v>
      </c>
      <c r="K18" s="84">
        <f t="shared" si="5"/>
        <v>8607</v>
      </c>
      <c r="L18" s="84">
        <f t="shared" si="5"/>
        <v>783</v>
      </c>
      <c r="M18" s="84">
        <f t="shared" si="5"/>
        <v>3153</v>
      </c>
      <c r="N18" s="84">
        <f t="shared" si="5"/>
        <v>1986</v>
      </c>
      <c r="O18" s="85">
        <f t="shared" si="1"/>
        <v>138856</v>
      </c>
      <c r="P18" s="408"/>
      <c r="Q18" s="76"/>
    </row>
    <row r="19" spans="1:16" ht="29.25">
      <c r="A19" s="305" t="s">
        <v>230</v>
      </c>
      <c r="B19" s="306" t="s">
        <v>231</v>
      </c>
      <c r="C19" s="394"/>
      <c r="D19" s="57">
        <v>1400</v>
      </c>
      <c r="E19" s="57"/>
      <c r="F19" s="87"/>
      <c r="G19" s="17"/>
      <c r="H19" s="307">
        <v>28</v>
      </c>
      <c r="I19" s="58"/>
      <c r="J19" s="60">
        <v>71</v>
      </c>
      <c r="K19" s="60">
        <v>2134</v>
      </c>
      <c r="L19" s="60"/>
      <c r="M19" s="60"/>
      <c r="N19" s="60"/>
      <c r="O19" s="19">
        <f t="shared" si="1"/>
        <v>3633</v>
      </c>
      <c r="P19" s="408"/>
    </row>
    <row r="20" spans="1:16" ht="29.25">
      <c r="A20" s="20" t="s">
        <v>33</v>
      </c>
      <c r="B20" s="21" t="s">
        <v>34</v>
      </c>
      <c r="C20" s="22">
        <v>4838</v>
      </c>
      <c r="D20" s="22"/>
      <c r="E20" s="22"/>
      <c r="F20" s="23"/>
      <c r="G20" s="22"/>
      <c r="H20" s="30"/>
      <c r="I20" s="27">
        <v>71</v>
      </c>
      <c r="J20" s="28">
        <v>285</v>
      </c>
      <c r="K20" s="28">
        <v>1067</v>
      </c>
      <c r="L20" s="28">
        <v>71</v>
      </c>
      <c r="M20" s="28">
        <f>854+142</f>
        <v>996</v>
      </c>
      <c r="N20" s="28">
        <v>141</v>
      </c>
      <c r="O20" s="19">
        <f t="shared" si="1"/>
        <v>7469</v>
      </c>
      <c r="P20" s="408"/>
    </row>
    <row r="21" spans="1:16" ht="15">
      <c r="A21" s="20" t="s">
        <v>6</v>
      </c>
      <c r="B21" s="21" t="s">
        <v>5</v>
      </c>
      <c r="C21" s="22">
        <v>15551</v>
      </c>
      <c r="D21" s="22"/>
      <c r="E21" s="22"/>
      <c r="F21" s="23"/>
      <c r="G21" s="22"/>
      <c r="H21" s="26">
        <v>1152</v>
      </c>
      <c r="I21" s="27">
        <v>142</v>
      </c>
      <c r="J21" s="28">
        <v>285</v>
      </c>
      <c r="K21" s="28">
        <v>3841</v>
      </c>
      <c r="L21" s="28"/>
      <c r="M21" s="28">
        <f>711+28</f>
        <v>739</v>
      </c>
      <c r="N21" s="28">
        <v>425</v>
      </c>
      <c r="O21" s="19">
        <f t="shared" si="1"/>
        <v>22135</v>
      </c>
      <c r="P21" s="408"/>
    </row>
    <row r="22" spans="1:16" ht="15">
      <c r="A22" s="20" t="s">
        <v>232</v>
      </c>
      <c r="B22" s="21" t="s">
        <v>168</v>
      </c>
      <c r="C22" s="22">
        <v>28457</v>
      </c>
      <c r="D22" s="22"/>
      <c r="E22" s="22"/>
      <c r="F22" s="23"/>
      <c r="G22" s="22"/>
      <c r="H22" s="26">
        <v>142</v>
      </c>
      <c r="I22" s="27"/>
      <c r="J22" s="28"/>
      <c r="K22" s="28">
        <v>427</v>
      </c>
      <c r="L22" s="28">
        <v>427</v>
      </c>
      <c r="M22" s="28"/>
      <c r="N22" s="28"/>
      <c r="O22" s="19">
        <f t="shared" si="1"/>
        <v>29453</v>
      </c>
      <c r="P22" s="408"/>
    </row>
    <row r="23" spans="1:16" ht="29.25">
      <c r="A23" s="20" t="s">
        <v>166</v>
      </c>
      <c r="B23" s="21" t="s">
        <v>167</v>
      </c>
      <c r="C23" s="36">
        <v>42686</v>
      </c>
      <c r="D23" s="22"/>
      <c r="E23" s="22"/>
      <c r="F23" s="23"/>
      <c r="G23" s="22"/>
      <c r="H23" s="30"/>
      <c r="I23" s="27">
        <v>996</v>
      </c>
      <c r="J23" s="28"/>
      <c r="K23" s="28">
        <v>1138</v>
      </c>
      <c r="L23" s="28"/>
      <c r="M23" s="28">
        <v>1418</v>
      </c>
      <c r="N23" s="28">
        <v>1420</v>
      </c>
      <c r="O23" s="19">
        <f t="shared" si="1"/>
        <v>47658</v>
      </c>
      <c r="P23" s="408"/>
    </row>
    <row r="24" spans="1:16" ht="15.75" thickBot="1">
      <c r="A24" s="20" t="s">
        <v>174</v>
      </c>
      <c r="B24" s="21" t="s">
        <v>35</v>
      </c>
      <c r="C24" s="22">
        <v>28223</v>
      </c>
      <c r="D24" s="22"/>
      <c r="E24" s="22"/>
      <c r="F24" s="23"/>
      <c r="G24" s="22"/>
      <c r="H24" s="26"/>
      <c r="I24" s="31"/>
      <c r="J24" s="28"/>
      <c r="K24" s="28"/>
      <c r="L24" s="28">
        <v>285</v>
      </c>
      <c r="M24" s="28"/>
      <c r="N24" s="28"/>
      <c r="O24" s="19">
        <f t="shared" si="1"/>
        <v>28508</v>
      </c>
      <c r="P24" s="408"/>
    </row>
    <row r="25" spans="1:17" ht="15.75" thickBot="1">
      <c r="A25" s="308" t="s">
        <v>36</v>
      </c>
      <c r="B25" s="82" t="s">
        <v>137</v>
      </c>
      <c r="C25" s="83">
        <f aca="true" t="shared" si="6" ref="C25:N25">SUM(C26:C26)</f>
        <v>4507548</v>
      </c>
      <c r="D25" s="83">
        <f t="shared" si="6"/>
        <v>3330315</v>
      </c>
      <c r="E25" s="83">
        <f t="shared" si="6"/>
        <v>2999</v>
      </c>
      <c r="F25" s="83">
        <f t="shared" si="6"/>
        <v>82469</v>
      </c>
      <c r="G25" s="83">
        <f t="shared" si="6"/>
        <v>0</v>
      </c>
      <c r="H25" s="83">
        <f t="shared" si="6"/>
        <v>0</v>
      </c>
      <c r="I25" s="83">
        <f t="shared" si="6"/>
        <v>106653</v>
      </c>
      <c r="J25" s="83">
        <f t="shared" si="6"/>
        <v>0</v>
      </c>
      <c r="K25" s="83">
        <f t="shared" si="6"/>
        <v>57565</v>
      </c>
      <c r="L25" s="83">
        <f t="shared" si="6"/>
        <v>0</v>
      </c>
      <c r="M25" s="83">
        <f t="shared" si="6"/>
        <v>5020</v>
      </c>
      <c r="N25" s="83">
        <f t="shared" si="6"/>
        <v>0</v>
      </c>
      <c r="O25" s="85">
        <f t="shared" si="1"/>
        <v>8092569</v>
      </c>
      <c r="P25" s="408"/>
      <c r="Q25" s="76"/>
    </row>
    <row r="26" spans="1:16" ht="30" thickBot="1">
      <c r="A26" s="354" t="s">
        <v>252</v>
      </c>
      <c r="B26" s="346" t="s">
        <v>254</v>
      </c>
      <c r="C26" s="57">
        <v>4507548</v>
      </c>
      <c r="D26" s="57">
        <v>3330315</v>
      </c>
      <c r="E26" s="57">
        <v>2999</v>
      </c>
      <c r="F26" s="57">
        <v>82469</v>
      </c>
      <c r="G26" s="57"/>
      <c r="H26" s="310"/>
      <c r="I26" s="87">
        <v>106653</v>
      </c>
      <c r="J26" s="87"/>
      <c r="K26" s="87">
        <v>57565</v>
      </c>
      <c r="L26" s="87"/>
      <c r="M26" s="87">
        <v>5020</v>
      </c>
      <c r="N26" s="87"/>
      <c r="O26" s="19">
        <f t="shared" si="1"/>
        <v>8092569</v>
      </c>
      <c r="P26" s="408"/>
    </row>
    <row r="27" spans="1:17" ht="15.75" thickBot="1">
      <c r="A27" s="308" t="s">
        <v>37</v>
      </c>
      <c r="B27" s="82" t="s">
        <v>38</v>
      </c>
      <c r="C27" s="84">
        <f aca="true" t="shared" si="7" ref="C27:N27">SUM(C28:C28)</f>
        <v>462433</v>
      </c>
      <c r="D27" s="84">
        <f t="shared" si="7"/>
        <v>0</v>
      </c>
      <c r="E27" s="84">
        <f t="shared" si="7"/>
        <v>0</v>
      </c>
      <c r="F27" s="84">
        <f t="shared" si="7"/>
        <v>0</v>
      </c>
      <c r="G27" s="83">
        <f t="shared" si="7"/>
        <v>0</v>
      </c>
      <c r="H27" s="309">
        <f t="shared" si="7"/>
        <v>0</v>
      </c>
      <c r="I27" s="83">
        <f t="shared" si="7"/>
        <v>44820</v>
      </c>
      <c r="J27" s="83">
        <f t="shared" si="7"/>
        <v>0</v>
      </c>
      <c r="K27" s="83">
        <f t="shared" si="7"/>
        <v>0</v>
      </c>
      <c r="L27" s="83">
        <f t="shared" si="7"/>
        <v>0</v>
      </c>
      <c r="M27" s="83">
        <f t="shared" si="7"/>
        <v>0</v>
      </c>
      <c r="N27" s="83">
        <f t="shared" si="7"/>
        <v>0</v>
      </c>
      <c r="O27" s="85">
        <f t="shared" si="1"/>
        <v>507253</v>
      </c>
      <c r="P27" s="408"/>
      <c r="Q27" s="76"/>
    </row>
    <row r="28" spans="1:16" ht="30" thickBot="1">
      <c r="A28" s="35" t="s">
        <v>39</v>
      </c>
      <c r="B28" s="21" t="s">
        <v>255</v>
      </c>
      <c r="C28" s="23">
        <v>462433</v>
      </c>
      <c r="D28" s="23"/>
      <c r="E28" s="23"/>
      <c r="F28" s="23"/>
      <c r="G28" s="22"/>
      <c r="H28" s="311"/>
      <c r="I28" s="38">
        <v>44820</v>
      </c>
      <c r="J28" s="38"/>
      <c r="K28" s="38"/>
      <c r="L28" s="38"/>
      <c r="M28" s="36"/>
      <c r="N28" s="38"/>
      <c r="O28" s="19">
        <f t="shared" si="1"/>
        <v>507253</v>
      </c>
      <c r="P28" s="408"/>
    </row>
    <row r="29" spans="1:16" ht="15.75" thickBot="1">
      <c r="A29" s="308" t="s">
        <v>40</v>
      </c>
      <c r="B29" s="82" t="s">
        <v>41</v>
      </c>
      <c r="C29" s="84">
        <f aca="true" t="shared" si="8" ref="C29:N29">SUM(C30,C31,C36)</f>
        <v>352911</v>
      </c>
      <c r="D29" s="84">
        <f t="shared" si="8"/>
        <v>11929761</v>
      </c>
      <c r="E29" s="84">
        <f t="shared" si="8"/>
        <v>108466</v>
      </c>
      <c r="F29" s="84">
        <f t="shared" si="8"/>
        <v>242758</v>
      </c>
      <c r="G29" s="84">
        <f t="shared" si="8"/>
        <v>0</v>
      </c>
      <c r="H29" s="84">
        <f t="shared" si="8"/>
        <v>325607</v>
      </c>
      <c r="I29" s="84">
        <f t="shared" si="8"/>
        <v>91988</v>
      </c>
      <c r="J29" s="84">
        <f t="shared" si="8"/>
        <v>148548</v>
      </c>
      <c r="K29" s="84">
        <f t="shared" si="8"/>
        <v>661184</v>
      </c>
      <c r="L29" s="84">
        <f t="shared" si="8"/>
        <v>16505</v>
      </c>
      <c r="M29" s="84">
        <f t="shared" si="8"/>
        <v>55293</v>
      </c>
      <c r="N29" s="84">
        <f t="shared" si="8"/>
        <v>4280</v>
      </c>
      <c r="O29" s="85">
        <f t="shared" si="1"/>
        <v>13937301</v>
      </c>
      <c r="P29" s="408"/>
    </row>
    <row r="30" spans="1:16" ht="31.5">
      <c r="A30" s="312" t="s">
        <v>233</v>
      </c>
      <c r="B30" s="415" t="s">
        <v>234</v>
      </c>
      <c r="C30" s="62"/>
      <c r="D30" s="57"/>
      <c r="E30" s="87"/>
      <c r="F30" s="57"/>
      <c r="G30" s="57"/>
      <c r="H30" s="106"/>
      <c r="I30" s="59"/>
      <c r="J30" s="60"/>
      <c r="K30" s="60"/>
      <c r="L30" s="60"/>
      <c r="M30" s="60"/>
      <c r="N30" s="60"/>
      <c r="O30" s="19">
        <f t="shared" si="1"/>
        <v>0</v>
      </c>
      <c r="P30" s="408"/>
    </row>
    <row r="31" spans="1:16" ht="45">
      <c r="A31" s="37" t="s">
        <v>20</v>
      </c>
      <c r="B31" s="32" t="s">
        <v>256</v>
      </c>
      <c r="C31" s="33">
        <f aca="true" t="shared" si="9" ref="C31:N31">SUM(C32:C35)</f>
        <v>352911</v>
      </c>
      <c r="D31" s="33">
        <f t="shared" si="9"/>
        <v>11929761</v>
      </c>
      <c r="E31" s="41">
        <f t="shared" si="9"/>
        <v>108466</v>
      </c>
      <c r="F31" s="33">
        <f t="shared" si="9"/>
        <v>242758</v>
      </c>
      <c r="G31" s="33">
        <f t="shared" si="9"/>
        <v>0</v>
      </c>
      <c r="H31" s="42">
        <f t="shared" si="9"/>
        <v>325607</v>
      </c>
      <c r="I31" s="41">
        <f t="shared" si="9"/>
        <v>91988</v>
      </c>
      <c r="J31" s="33">
        <f t="shared" si="9"/>
        <v>148548</v>
      </c>
      <c r="K31" s="41">
        <f t="shared" si="9"/>
        <v>661184</v>
      </c>
      <c r="L31" s="33">
        <f t="shared" si="9"/>
        <v>16505</v>
      </c>
      <c r="M31" s="41">
        <f t="shared" si="9"/>
        <v>54012</v>
      </c>
      <c r="N31" s="33">
        <f t="shared" si="9"/>
        <v>4280</v>
      </c>
      <c r="O31" s="19">
        <f t="shared" si="1"/>
        <v>13936020</v>
      </c>
      <c r="P31" s="408"/>
    </row>
    <row r="32" spans="1:17" ht="15">
      <c r="A32" s="25" t="s">
        <v>224</v>
      </c>
      <c r="B32" s="21" t="s">
        <v>225</v>
      </c>
      <c r="C32" s="300">
        <v>150249</v>
      </c>
      <c r="D32" s="300"/>
      <c r="E32" s="40"/>
      <c r="F32" s="22"/>
      <c r="G32" s="22"/>
      <c r="H32" s="42"/>
      <c r="I32" s="33"/>
      <c r="J32" s="36">
        <v>14229</v>
      </c>
      <c r="K32" s="22">
        <v>77439</v>
      </c>
      <c r="L32" s="33"/>
      <c r="M32" s="22">
        <v>5122</v>
      </c>
      <c r="N32" s="33"/>
      <c r="O32" s="19">
        <f t="shared" si="1"/>
        <v>247039</v>
      </c>
      <c r="P32" s="408"/>
      <c r="Q32" s="76"/>
    </row>
    <row r="33" spans="1:16" ht="29.25">
      <c r="A33" s="25" t="s">
        <v>175</v>
      </c>
      <c r="B33" s="21" t="s">
        <v>176</v>
      </c>
      <c r="C33" s="22">
        <v>1423</v>
      </c>
      <c r="D33" s="22"/>
      <c r="E33" s="22"/>
      <c r="F33" s="23">
        <v>1362</v>
      </c>
      <c r="G33" s="22"/>
      <c r="H33" s="30"/>
      <c r="I33" s="27"/>
      <c r="J33" s="28"/>
      <c r="K33" s="28">
        <v>71</v>
      </c>
      <c r="L33" s="28"/>
      <c r="M33" s="28"/>
      <c r="N33" s="28"/>
      <c r="O33" s="19">
        <f t="shared" si="1"/>
        <v>2856</v>
      </c>
      <c r="P33" s="408"/>
    </row>
    <row r="34" spans="1:17" ht="15">
      <c r="A34" s="25" t="s">
        <v>42</v>
      </c>
      <c r="B34" s="21" t="s">
        <v>43</v>
      </c>
      <c r="C34" s="22">
        <v>154201</v>
      </c>
      <c r="D34" s="22">
        <v>43792</v>
      </c>
      <c r="E34" s="22">
        <v>50377</v>
      </c>
      <c r="F34" s="23">
        <v>38746</v>
      </c>
      <c r="G34" s="22"/>
      <c r="H34" s="26">
        <v>14653</v>
      </c>
      <c r="I34" s="27">
        <v>3557</v>
      </c>
      <c r="J34" s="28">
        <v>711</v>
      </c>
      <c r="K34" s="28">
        <v>18232</v>
      </c>
      <c r="L34" s="28">
        <v>2561</v>
      </c>
      <c r="M34" s="28">
        <f>2846+3273</f>
        <v>6119</v>
      </c>
      <c r="N34" s="28">
        <v>1150</v>
      </c>
      <c r="O34" s="19">
        <f t="shared" si="1"/>
        <v>334099</v>
      </c>
      <c r="P34" s="408"/>
      <c r="Q34" s="76"/>
    </row>
    <row r="35" spans="1:17" ht="29.25">
      <c r="A35" s="25" t="s">
        <v>44</v>
      </c>
      <c r="B35" s="21" t="s">
        <v>45</v>
      </c>
      <c r="C35" s="22">
        <v>47038</v>
      </c>
      <c r="D35" s="22">
        <v>11885969</v>
      </c>
      <c r="E35" s="22">
        <v>58089</v>
      </c>
      <c r="F35" s="23">
        <v>202650</v>
      </c>
      <c r="G35" s="22"/>
      <c r="H35" s="302">
        <v>310954</v>
      </c>
      <c r="I35" s="27">
        <v>88431</v>
      </c>
      <c r="J35" s="26">
        <v>133608</v>
      </c>
      <c r="K35" s="26">
        <v>565442</v>
      </c>
      <c r="L35" s="26">
        <v>13944</v>
      </c>
      <c r="M35" s="26">
        <f>10472+32299</f>
        <v>42771</v>
      </c>
      <c r="N35" s="26">
        <v>3130</v>
      </c>
      <c r="O35" s="19">
        <f t="shared" si="1"/>
        <v>13352026</v>
      </c>
      <c r="P35" s="408"/>
      <c r="Q35" s="76"/>
    </row>
    <row r="36" spans="1:17" ht="15.75" thickBot="1">
      <c r="A36" s="384" t="s">
        <v>400</v>
      </c>
      <c r="B36" s="338" t="s">
        <v>414</v>
      </c>
      <c r="C36" s="109"/>
      <c r="D36" s="109"/>
      <c r="E36" s="109"/>
      <c r="F36" s="110"/>
      <c r="G36" s="109"/>
      <c r="H36" s="385"/>
      <c r="I36" s="386"/>
      <c r="J36" s="387"/>
      <c r="K36" s="387"/>
      <c r="L36" s="387"/>
      <c r="M36" s="387">
        <v>1281</v>
      </c>
      <c r="N36" s="387"/>
      <c r="O36" s="19">
        <f t="shared" si="1"/>
        <v>1281</v>
      </c>
      <c r="P36" s="408"/>
      <c r="Q36" s="76"/>
    </row>
    <row r="37" spans="1:17" ht="15.75" thickBot="1">
      <c r="A37" s="49"/>
      <c r="B37" s="50" t="s">
        <v>46</v>
      </c>
      <c r="C37" s="313">
        <f aca="true" t="shared" si="10" ref="C37:N37">SUM(C8+C18+C25+C27+C29)</f>
        <v>25552375</v>
      </c>
      <c r="D37" s="51">
        <f t="shared" si="10"/>
        <v>15261476</v>
      </c>
      <c r="E37" s="314">
        <f t="shared" si="10"/>
        <v>111465</v>
      </c>
      <c r="F37" s="315">
        <f t="shared" si="10"/>
        <v>325227</v>
      </c>
      <c r="G37" s="51">
        <f t="shared" si="10"/>
        <v>0</v>
      </c>
      <c r="H37" s="316">
        <f t="shared" si="10"/>
        <v>419415</v>
      </c>
      <c r="I37" s="53">
        <f t="shared" si="10"/>
        <v>278499</v>
      </c>
      <c r="J37" s="53">
        <f t="shared" si="10"/>
        <v>192586</v>
      </c>
      <c r="K37" s="53">
        <f t="shared" si="10"/>
        <v>803219</v>
      </c>
      <c r="L37" s="53">
        <f t="shared" si="10"/>
        <v>55171</v>
      </c>
      <c r="M37" s="53">
        <f t="shared" si="10"/>
        <v>146010</v>
      </c>
      <c r="N37" s="52">
        <f t="shared" si="10"/>
        <v>34581</v>
      </c>
      <c r="O37" s="85">
        <f t="shared" si="1"/>
        <v>43180024</v>
      </c>
      <c r="P37" s="408"/>
      <c r="Q37" s="76"/>
    </row>
    <row r="38" spans="1:17" ht="15">
      <c r="A38" s="54" t="s">
        <v>177</v>
      </c>
      <c r="B38" s="55" t="s">
        <v>21</v>
      </c>
      <c r="C38" s="56">
        <v>11119723</v>
      </c>
      <c r="D38" s="57"/>
      <c r="E38" s="57"/>
      <c r="F38" s="57"/>
      <c r="G38" s="57"/>
      <c r="H38" s="307">
        <v>348109</v>
      </c>
      <c r="I38" s="58">
        <v>143761</v>
      </c>
      <c r="J38" s="60"/>
      <c r="K38" s="60"/>
      <c r="L38" s="60"/>
      <c r="M38" s="60"/>
      <c r="N38" s="61"/>
      <c r="O38" s="19">
        <f t="shared" si="1"/>
        <v>11611593</v>
      </c>
      <c r="P38" s="408"/>
      <c r="Q38" s="76"/>
    </row>
    <row r="39" spans="1:17" ht="15">
      <c r="A39" s="63"/>
      <c r="B39" s="64" t="s">
        <v>47</v>
      </c>
      <c r="C39" s="66">
        <f aca="true" t="shared" si="11" ref="C39:N39">SUM(C37:C38)</f>
        <v>36672098</v>
      </c>
      <c r="D39" s="65">
        <f t="shared" si="11"/>
        <v>15261476</v>
      </c>
      <c r="E39" s="65">
        <f t="shared" si="11"/>
        <v>111465</v>
      </c>
      <c r="F39" s="65">
        <f t="shared" si="11"/>
        <v>325227</v>
      </c>
      <c r="G39" s="65">
        <f t="shared" si="11"/>
        <v>0</v>
      </c>
      <c r="H39" s="317">
        <f t="shared" si="11"/>
        <v>767524</v>
      </c>
      <c r="I39" s="65">
        <f t="shared" si="11"/>
        <v>422260</v>
      </c>
      <c r="J39" s="65">
        <f t="shared" si="11"/>
        <v>192586</v>
      </c>
      <c r="K39" s="65">
        <f t="shared" si="11"/>
        <v>803219</v>
      </c>
      <c r="L39" s="65">
        <f t="shared" si="11"/>
        <v>55171</v>
      </c>
      <c r="M39" s="65">
        <f t="shared" si="11"/>
        <v>146010</v>
      </c>
      <c r="N39" s="67">
        <f t="shared" si="11"/>
        <v>34581</v>
      </c>
      <c r="O39" s="19">
        <f t="shared" si="1"/>
        <v>54791617</v>
      </c>
      <c r="P39" s="408"/>
      <c r="Q39" s="76"/>
    </row>
    <row r="40" spans="1:17" ht="15">
      <c r="A40" s="63"/>
      <c r="B40" s="68" t="s">
        <v>407</v>
      </c>
      <c r="C40" s="69">
        <v>4281659</v>
      </c>
      <c r="D40" s="22">
        <v>2140358</v>
      </c>
      <c r="E40" s="22">
        <v>26529</v>
      </c>
      <c r="F40" s="22">
        <v>17622</v>
      </c>
      <c r="G40" s="22">
        <v>19091</v>
      </c>
      <c r="H40" s="26">
        <v>285433</v>
      </c>
      <c r="I40" s="27">
        <v>67225</v>
      </c>
      <c r="J40" s="28">
        <v>35189</v>
      </c>
      <c r="K40" s="28">
        <v>273689</v>
      </c>
      <c r="L40" s="28">
        <v>26666</v>
      </c>
      <c r="M40" s="28">
        <f>17712+4500</f>
        <v>22212</v>
      </c>
      <c r="N40" s="29">
        <v>34173</v>
      </c>
      <c r="O40" s="19">
        <f t="shared" si="1"/>
        <v>7229846</v>
      </c>
      <c r="P40" s="408"/>
      <c r="Q40" s="76"/>
    </row>
    <row r="41" spans="1:16" ht="15">
      <c r="A41" s="318" t="s">
        <v>235</v>
      </c>
      <c r="B41" s="1" t="s">
        <v>236</v>
      </c>
      <c r="C41" s="69"/>
      <c r="D41" s="22"/>
      <c r="E41" s="22"/>
      <c r="F41" s="22"/>
      <c r="G41" s="22"/>
      <c r="H41" s="26"/>
      <c r="I41" s="27"/>
      <c r="J41" s="28"/>
      <c r="K41" s="28"/>
      <c r="L41" s="28"/>
      <c r="M41" s="28"/>
      <c r="N41" s="29"/>
      <c r="O41" s="19">
        <f t="shared" si="1"/>
        <v>0</v>
      </c>
      <c r="P41" s="408"/>
    </row>
    <row r="42" spans="1:16" ht="15">
      <c r="A42" s="63"/>
      <c r="B42" s="68" t="s">
        <v>48</v>
      </c>
      <c r="C42" s="66">
        <f>SUM(C39:C40)</f>
        <v>40953757</v>
      </c>
      <c r="D42" s="65">
        <f>SUM(D39:D40)</f>
        <v>17401834</v>
      </c>
      <c r="E42" s="65">
        <f>SUM(E39:E40)</f>
        <v>137994</v>
      </c>
      <c r="F42" s="65">
        <f aca="true" t="shared" si="12" ref="F42:N42">SUM(F39:F41)</f>
        <v>342849</v>
      </c>
      <c r="G42" s="65">
        <f t="shared" si="12"/>
        <v>19091</v>
      </c>
      <c r="H42" s="317">
        <f t="shared" si="12"/>
        <v>1052957</v>
      </c>
      <c r="I42" s="65">
        <f t="shared" si="12"/>
        <v>489485</v>
      </c>
      <c r="J42" s="65">
        <f t="shared" si="12"/>
        <v>227775</v>
      </c>
      <c r="K42" s="65">
        <f t="shared" si="12"/>
        <v>1076908</v>
      </c>
      <c r="L42" s="65">
        <f t="shared" si="12"/>
        <v>81837</v>
      </c>
      <c r="M42" s="65">
        <f t="shared" si="12"/>
        <v>168222</v>
      </c>
      <c r="N42" s="65">
        <f t="shared" si="12"/>
        <v>68754</v>
      </c>
      <c r="O42" s="19">
        <f t="shared" si="1"/>
        <v>62021463</v>
      </c>
      <c r="P42" s="408"/>
    </row>
    <row r="43" spans="1:15" ht="15">
      <c r="A43" s="70"/>
      <c r="B43" s="71"/>
      <c r="C43" s="73"/>
      <c r="D43" s="72"/>
      <c r="E43" s="72"/>
      <c r="F43" s="72"/>
      <c r="G43" s="72"/>
      <c r="H43" s="74"/>
      <c r="I43" s="74"/>
      <c r="J43" s="74"/>
      <c r="K43" s="74"/>
      <c r="L43" s="74"/>
      <c r="M43" s="74"/>
      <c r="N43" s="74"/>
      <c r="O43" s="74"/>
    </row>
    <row r="44" spans="1:15" ht="15">
      <c r="A44" s="70"/>
      <c r="B44" s="71"/>
      <c r="C44" s="319"/>
      <c r="D44" s="72"/>
      <c r="E44" s="72"/>
      <c r="F44" s="72"/>
      <c r="G44" s="72"/>
      <c r="H44" s="74"/>
      <c r="I44" s="74"/>
      <c r="J44" s="74"/>
      <c r="K44" s="74"/>
      <c r="L44" s="74"/>
      <c r="M44" s="74"/>
      <c r="N44" s="74"/>
      <c r="O44" s="74"/>
    </row>
    <row r="45" spans="2:4" ht="15">
      <c r="B45" s="75" t="s">
        <v>18</v>
      </c>
      <c r="D45" s="3" t="s">
        <v>19</v>
      </c>
    </row>
    <row r="46" ht="15">
      <c r="B46" s="75"/>
    </row>
    <row r="47" ht="15">
      <c r="B47" s="75"/>
    </row>
    <row r="48" spans="1:15" ht="15">
      <c r="A48" s="70"/>
      <c r="B48" s="71"/>
      <c r="D48" s="77"/>
      <c r="F48" s="4"/>
      <c r="G48" s="4"/>
      <c r="H48" s="4" t="s">
        <v>463</v>
      </c>
      <c r="O48" s="78"/>
    </row>
    <row r="49" spans="1:8" ht="15">
      <c r="A49" s="70"/>
      <c r="B49" s="71"/>
      <c r="F49" s="6"/>
      <c r="G49" s="6"/>
      <c r="H49" s="6" t="s">
        <v>461</v>
      </c>
    </row>
    <row r="50" spans="1:8" ht="15">
      <c r="A50" s="79"/>
      <c r="B50" s="80"/>
      <c r="F50" s="6"/>
      <c r="G50" s="6"/>
      <c r="H50" s="6" t="s">
        <v>462</v>
      </c>
    </row>
    <row r="51" spans="1:7" ht="15">
      <c r="A51" s="79"/>
      <c r="B51" s="80"/>
      <c r="E51" s="6"/>
      <c r="F51" s="6"/>
      <c r="G51" s="6"/>
    </row>
    <row r="52" spans="1:4" ht="39.75" customHeight="1" thickBot="1">
      <c r="A52" s="418" t="s">
        <v>418</v>
      </c>
      <c r="B52" s="418"/>
      <c r="C52" s="418"/>
      <c r="D52" s="418"/>
    </row>
    <row r="53" spans="1:15" ht="100.5" thickBot="1">
      <c r="A53" s="8" t="s">
        <v>1</v>
      </c>
      <c r="B53" s="9" t="s">
        <v>169</v>
      </c>
      <c r="C53" s="10" t="s">
        <v>381</v>
      </c>
      <c r="D53" s="11" t="s">
        <v>382</v>
      </c>
      <c r="E53" s="10" t="s">
        <v>383</v>
      </c>
      <c r="F53" s="12" t="s">
        <v>384</v>
      </c>
      <c r="G53" s="10" t="s">
        <v>385</v>
      </c>
      <c r="H53" s="296" t="s">
        <v>386</v>
      </c>
      <c r="I53" s="297" t="s">
        <v>387</v>
      </c>
      <c r="J53" s="297" t="s">
        <v>388</v>
      </c>
      <c r="K53" s="297" t="s">
        <v>389</v>
      </c>
      <c r="L53" s="297" t="s">
        <v>390</v>
      </c>
      <c r="M53" s="297" t="s">
        <v>454</v>
      </c>
      <c r="N53" s="297" t="s">
        <v>391</v>
      </c>
      <c r="O53" s="15" t="s">
        <v>392</v>
      </c>
    </row>
    <row r="54" spans="1:17" ht="15.75" thickBot="1">
      <c r="A54" s="81" t="s">
        <v>49</v>
      </c>
      <c r="B54" s="82" t="s">
        <v>50</v>
      </c>
      <c r="C54" s="84">
        <f>C55+C56+C58+C60</f>
        <v>3813963</v>
      </c>
      <c r="D54" s="84">
        <f aca="true" t="shared" si="13" ref="D54:N54">D55+D56+D58+D60</f>
        <v>0</v>
      </c>
      <c r="E54" s="84">
        <f t="shared" si="13"/>
        <v>0</v>
      </c>
      <c r="F54" s="84">
        <f t="shared" si="13"/>
        <v>0</v>
      </c>
      <c r="G54" s="84">
        <f t="shared" si="13"/>
        <v>0</v>
      </c>
      <c r="H54" s="84">
        <f t="shared" si="13"/>
        <v>164968</v>
      </c>
      <c r="I54" s="84">
        <f t="shared" si="13"/>
        <v>94374</v>
      </c>
      <c r="J54" s="84">
        <f t="shared" si="13"/>
        <v>89586</v>
      </c>
      <c r="K54" s="84">
        <f t="shared" si="13"/>
        <v>172844</v>
      </c>
      <c r="L54" s="84">
        <f t="shared" si="13"/>
        <v>98241</v>
      </c>
      <c r="M54" s="84">
        <f t="shared" si="13"/>
        <v>139719</v>
      </c>
      <c r="N54" s="84">
        <f t="shared" si="13"/>
        <v>62031</v>
      </c>
      <c r="O54" s="85">
        <f aca="true" t="shared" si="14" ref="O54:O78">SUM(C54:N54)</f>
        <v>4635726</v>
      </c>
      <c r="P54" s="408"/>
      <c r="Q54" s="76"/>
    </row>
    <row r="55" spans="1:17" ht="30">
      <c r="A55" s="86" t="s">
        <v>362</v>
      </c>
      <c r="B55" s="16" t="s">
        <v>264</v>
      </c>
      <c r="C55" s="18">
        <v>2395917</v>
      </c>
      <c r="D55" s="57"/>
      <c r="E55" s="57"/>
      <c r="F55" s="87"/>
      <c r="G55" s="57"/>
      <c r="H55" s="320">
        <v>157293</v>
      </c>
      <c r="I55" s="129">
        <v>93335</v>
      </c>
      <c r="J55" s="129">
        <v>76652</v>
      </c>
      <c r="K55" s="129">
        <v>161284</v>
      </c>
      <c r="L55" s="129">
        <v>98241</v>
      </c>
      <c r="M55" s="129">
        <f>42271+87317</f>
        <v>129588</v>
      </c>
      <c r="N55" s="129">
        <v>57295</v>
      </c>
      <c r="O55" s="321">
        <f t="shared" si="14"/>
        <v>3169605</v>
      </c>
      <c r="P55" s="408"/>
      <c r="Q55" s="76"/>
    </row>
    <row r="56" spans="1:16" ht="15">
      <c r="A56" s="89" t="s">
        <v>51</v>
      </c>
      <c r="B56" s="32" t="s">
        <v>52</v>
      </c>
      <c r="C56" s="34">
        <f>SUM(C57:C57)</f>
        <v>483776</v>
      </c>
      <c r="D56" s="34">
        <f>SUM(D57:D57)</f>
        <v>0</v>
      </c>
      <c r="E56" s="33"/>
      <c r="F56" s="34"/>
      <c r="G56" s="33"/>
      <c r="H56" s="41">
        <f aca="true" t="shared" si="15" ref="H56:N56">SUM(H57:H57)</f>
        <v>2675</v>
      </c>
      <c r="I56" s="33">
        <f t="shared" si="15"/>
        <v>1039</v>
      </c>
      <c r="J56" s="33">
        <f t="shared" si="15"/>
        <v>11653</v>
      </c>
      <c r="K56" s="34">
        <f t="shared" si="15"/>
        <v>9324</v>
      </c>
      <c r="L56" s="34">
        <f t="shared" si="15"/>
        <v>0</v>
      </c>
      <c r="M56" s="34">
        <f>SUM(M57:M57)</f>
        <v>10131</v>
      </c>
      <c r="N56" s="34">
        <f t="shared" si="15"/>
        <v>4736</v>
      </c>
      <c r="O56" s="24">
        <f t="shared" si="14"/>
        <v>523334</v>
      </c>
      <c r="P56" s="408"/>
    </row>
    <row r="57" spans="1:17" ht="29.25">
      <c r="A57" s="88" t="s">
        <v>53</v>
      </c>
      <c r="B57" s="21" t="s">
        <v>132</v>
      </c>
      <c r="C57" s="23">
        <v>483776</v>
      </c>
      <c r="D57" s="22"/>
      <c r="E57" s="22"/>
      <c r="F57" s="23"/>
      <c r="G57" s="22"/>
      <c r="H57" s="39">
        <v>2675</v>
      </c>
      <c r="I57" s="27">
        <v>1039</v>
      </c>
      <c r="J57" s="27">
        <v>11653</v>
      </c>
      <c r="K57" s="28">
        <v>9324</v>
      </c>
      <c r="L57" s="28"/>
      <c r="M57" s="28">
        <f>996+9135</f>
        <v>10131</v>
      </c>
      <c r="N57" s="28">
        <v>4736</v>
      </c>
      <c r="O57" s="24">
        <f t="shared" si="14"/>
        <v>523334</v>
      </c>
      <c r="P57" s="408"/>
      <c r="Q57" s="76"/>
    </row>
    <row r="58" spans="1:16" ht="45">
      <c r="A58" s="89" t="s">
        <v>54</v>
      </c>
      <c r="B58" s="90" t="s">
        <v>55</v>
      </c>
      <c r="C58" s="34">
        <f>SUM(C59:C59)</f>
        <v>455319</v>
      </c>
      <c r="D58" s="34">
        <f>SUM(D59:D59)</f>
        <v>0</v>
      </c>
      <c r="E58" s="33"/>
      <c r="F58" s="34"/>
      <c r="G58" s="33"/>
      <c r="H58" s="41">
        <f aca="true" t="shared" si="16" ref="H58:N58">SUM(H59:H59)</f>
        <v>0</v>
      </c>
      <c r="I58" s="33">
        <f t="shared" si="16"/>
        <v>0</v>
      </c>
      <c r="J58" s="33">
        <f t="shared" si="16"/>
        <v>0</v>
      </c>
      <c r="K58" s="34">
        <f t="shared" si="16"/>
        <v>0</v>
      </c>
      <c r="L58" s="34">
        <f t="shared" si="16"/>
        <v>0</v>
      </c>
      <c r="M58" s="34">
        <f t="shared" si="16"/>
        <v>0</v>
      </c>
      <c r="N58" s="34">
        <f t="shared" si="16"/>
        <v>0</v>
      </c>
      <c r="O58" s="24">
        <f t="shared" si="14"/>
        <v>455319</v>
      </c>
      <c r="P58" s="408"/>
    </row>
    <row r="59" spans="1:17" ht="29.25">
      <c r="A59" s="369" t="s">
        <v>265</v>
      </c>
      <c r="B59" s="21" t="s">
        <v>56</v>
      </c>
      <c r="C59" s="23">
        <v>455319</v>
      </c>
      <c r="D59" s="22"/>
      <c r="E59" s="22"/>
      <c r="F59" s="23"/>
      <c r="G59" s="22"/>
      <c r="H59" s="26"/>
      <c r="I59" s="27"/>
      <c r="J59" s="27"/>
      <c r="K59" s="28"/>
      <c r="L59" s="28"/>
      <c r="M59" s="28"/>
      <c r="N59" s="28"/>
      <c r="O59" s="24">
        <f t="shared" si="14"/>
        <v>455319</v>
      </c>
      <c r="P59" s="408"/>
      <c r="Q59" s="76"/>
    </row>
    <row r="60" spans="1:16" s="78" customFormat="1" ht="15.75" thickBot="1">
      <c r="A60" s="91" t="s">
        <v>57</v>
      </c>
      <c r="B60" s="92" t="s">
        <v>266</v>
      </c>
      <c r="C60" s="93">
        <v>478951</v>
      </c>
      <c r="D60" s="117"/>
      <c r="E60" s="117"/>
      <c r="F60" s="93"/>
      <c r="G60" s="117"/>
      <c r="H60" s="324">
        <v>5000</v>
      </c>
      <c r="I60" s="148"/>
      <c r="J60" s="149">
        <v>1281</v>
      </c>
      <c r="K60" s="100">
        <v>2236</v>
      </c>
      <c r="L60" s="100"/>
      <c r="M60" s="100"/>
      <c r="N60" s="100"/>
      <c r="O60" s="126">
        <f t="shared" si="14"/>
        <v>487468</v>
      </c>
      <c r="P60" s="408"/>
    </row>
    <row r="61" spans="1:17" ht="15.75" thickBot="1">
      <c r="A61" s="94" t="s">
        <v>58</v>
      </c>
      <c r="B61" s="82" t="s">
        <v>59</v>
      </c>
      <c r="C61" s="84">
        <f>SUM(C62:C64)</f>
        <v>2116747</v>
      </c>
      <c r="D61" s="84">
        <f>SUM(D62:D64)</f>
        <v>0</v>
      </c>
      <c r="E61" s="84">
        <f>SUM(E62:E64)</f>
        <v>0</v>
      </c>
      <c r="F61" s="84">
        <f>SUM(F62:F64)</f>
        <v>0</v>
      </c>
      <c r="G61" s="83"/>
      <c r="H61" s="309">
        <f aca="true" t="shared" si="17" ref="H61:N61">SUM(H62:H64)</f>
        <v>4826</v>
      </c>
      <c r="I61" s="83">
        <f t="shared" si="17"/>
        <v>0</v>
      </c>
      <c r="J61" s="83">
        <f t="shared" si="17"/>
        <v>0</v>
      </c>
      <c r="K61" s="84">
        <f>SUM(K62:K64)</f>
        <v>4166</v>
      </c>
      <c r="L61" s="84">
        <f t="shared" si="17"/>
        <v>0</v>
      </c>
      <c r="M61" s="84">
        <f t="shared" si="17"/>
        <v>9852</v>
      </c>
      <c r="N61" s="84">
        <f t="shared" si="17"/>
        <v>0</v>
      </c>
      <c r="O61" s="85">
        <f t="shared" si="14"/>
        <v>2135591</v>
      </c>
      <c r="P61" s="408"/>
      <c r="Q61" s="76"/>
    </row>
    <row r="62" spans="1:16" ht="15">
      <c r="A62" s="86" t="s">
        <v>263</v>
      </c>
      <c r="B62" s="16" t="s">
        <v>15</v>
      </c>
      <c r="C62" s="95">
        <v>604655</v>
      </c>
      <c r="D62" s="57"/>
      <c r="E62" s="57"/>
      <c r="F62" s="87"/>
      <c r="G62" s="57"/>
      <c r="H62" s="307"/>
      <c r="I62" s="59"/>
      <c r="J62" s="59"/>
      <c r="K62" s="60"/>
      <c r="L62" s="60"/>
      <c r="M62" s="60"/>
      <c r="N62" s="60"/>
      <c r="O62" s="131">
        <f t="shared" si="14"/>
        <v>604655</v>
      </c>
      <c r="P62" s="408"/>
    </row>
    <row r="63" spans="1:16" ht="30">
      <c r="A63" s="389" t="s">
        <v>402</v>
      </c>
      <c r="B63" s="390" t="s">
        <v>403</v>
      </c>
      <c r="C63" s="391">
        <f>1430875+73206</f>
        <v>1504081</v>
      </c>
      <c r="D63" s="109"/>
      <c r="E63" s="109"/>
      <c r="F63" s="110"/>
      <c r="G63" s="109"/>
      <c r="H63" s="392"/>
      <c r="I63" s="326"/>
      <c r="J63" s="326"/>
      <c r="K63" s="393"/>
      <c r="L63" s="393"/>
      <c r="M63" s="393"/>
      <c r="N63" s="393"/>
      <c r="O63" s="19">
        <f t="shared" si="14"/>
        <v>1504081</v>
      </c>
      <c r="P63" s="408"/>
    </row>
    <row r="64" spans="1:16" s="78" customFormat="1" ht="45.75" thickBot="1">
      <c r="A64" s="97" t="s">
        <v>60</v>
      </c>
      <c r="B64" s="92" t="s">
        <v>267</v>
      </c>
      <c r="C64" s="117">
        <v>8011</v>
      </c>
      <c r="D64" s="117"/>
      <c r="E64" s="117"/>
      <c r="F64" s="117"/>
      <c r="G64" s="117"/>
      <c r="H64" s="388">
        <v>4826</v>
      </c>
      <c r="I64" s="148"/>
      <c r="J64" s="148"/>
      <c r="K64" s="100">
        <v>4166</v>
      </c>
      <c r="L64" s="100"/>
      <c r="M64" s="100">
        <v>9852</v>
      </c>
      <c r="N64" s="100"/>
      <c r="O64" s="356">
        <f t="shared" si="14"/>
        <v>26855</v>
      </c>
      <c r="P64" s="408"/>
    </row>
    <row r="65" spans="1:17" ht="15.75" thickBot="1">
      <c r="A65" s="94" t="s">
        <v>10</v>
      </c>
      <c r="B65" s="82" t="s">
        <v>61</v>
      </c>
      <c r="C65" s="84">
        <f aca="true" t="shared" si="18" ref="C65:N65">SUM(C66,C70:C73,C79,C81)</f>
        <v>3022276</v>
      </c>
      <c r="D65" s="84">
        <f t="shared" si="18"/>
        <v>254004</v>
      </c>
      <c r="E65" s="84">
        <f t="shared" si="18"/>
        <v>0</v>
      </c>
      <c r="F65" s="84">
        <f t="shared" si="18"/>
        <v>0</v>
      </c>
      <c r="G65" s="84">
        <f t="shared" si="18"/>
        <v>0</v>
      </c>
      <c r="H65" s="84">
        <f t="shared" si="18"/>
        <v>42642</v>
      </c>
      <c r="I65" s="84">
        <f t="shared" si="18"/>
        <v>19231</v>
      </c>
      <c r="J65" s="84">
        <f t="shared" si="18"/>
        <v>13769</v>
      </c>
      <c r="K65" s="84">
        <f t="shared" si="18"/>
        <v>111174</v>
      </c>
      <c r="L65" s="84">
        <f t="shared" si="18"/>
        <v>0</v>
      </c>
      <c r="M65" s="84">
        <f t="shared" si="18"/>
        <v>0</v>
      </c>
      <c r="N65" s="84">
        <f t="shared" si="18"/>
        <v>2603</v>
      </c>
      <c r="O65" s="85">
        <f t="shared" si="14"/>
        <v>3465699</v>
      </c>
      <c r="P65" s="408"/>
      <c r="Q65" s="76"/>
    </row>
    <row r="66" spans="1:16" ht="15">
      <c r="A66" s="86" t="s">
        <v>129</v>
      </c>
      <c r="B66" s="98" t="s">
        <v>130</v>
      </c>
      <c r="C66" s="18">
        <f aca="true" t="shared" si="19" ref="C66:N66">SUM(C67:C69)</f>
        <v>34990</v>
      </c>
      <c r="D66" s="18">
        <f t="shared" si="19"/>
        <v>0</v>
      </c>
      <c r="E66" s="18">
        <f t="shared" si="19"/>
        <v>0</v>
      </c>
      <c r="F66" s="18">
        <f t="shared" si="19"/>
        <v>0</v>
      </c>
      <c r="G66" s="18">
        <f t="shared" si="19"/>
        <v>0</v>
      </c>
      <c r="H66" s="18">
        <f t="shared" si="19"/>
        <v>0</v>
      </c>
      <c r="I66" s="18">
        <f t="shared" si="19"/>
        <v>0</v>
      </c>
      <c r="J66" s="18">
        <f t="shared" si="19"/>
        <v>0</v>
      </c>
      <c r="K66" s="18">
        <f t="shared" si="19"/>
        <v>0</v>
      </c>
      <c r="L66" s="18">
        <f t="shared" si="19"/>
        <v>0</v>
      </c>
      <c r="M66" s="18">
        <f t="shared" si="19"/>
        <v>0</v>
      </c>
      <c r="N66" s="18">
        <f t="shared" si="19"/>
        <v>0</v>
      </c>
      <c r="O66" s="131">
        <f t="shared" si="14"/>
        <v>34990</v>
      </c>
      <c r="P66" s="408"/>
    </row>
    <row r="67" spans="1:16" ht="14.25">
      <c r="A67" s="114" t="s">
        <v>268</v>
      </c>
      <c r="B67" s="60" t="s">
        <v>269</v>
      </c>
      <c r="C67" s="87">
        <v>19920</v>
      </c>
      <c r="D67" s="57"/>
      <c r="E67" s="57"/>
      <c r="F67" s="87"/>
      <c r="G67" s="57"/>
      <c r="H67" s="106"/>
      <c r="I67" s="59"/>
      <c r="J67" s="58"/>
      <c r="K67" s="60"/>
      <c r="L67" s="60"/>
      <c r="M67" s="60"/>
      <c r="N67" s="60"/>
      <c r="O67" s="367">
        <f t="shared" si="14"/>
        <v>19920</v>
      </c>
      <c r="P67" s="408"/>
    </row>
    <row r="68" spans="1:16" ht="28.5">
      <c r="A68" s="114" t="s">
        <v>272</v>
      </c>
      <c r="B68" s="99" t="s">
        <v>365</v>
      </c>
      <c r="C68" s="87">
        <v>13500</v>
      </c>
      <c r="D68" s="57"/>
      <c r="E68" s="57"/>
      <c r="F68" s="87"/>
      <c r="G68" s="57"/>
      <c r="H68" s="106"/>
      <c r="I68" s="59"/>
      <c r="J68" s="59"/>
      <c r="K68" s="60"/>
      <c r="L68" s="60"/>
      <c r="M68" s="60"/>
      <c r="N68" s="60"/>
      <c r="O68" s="368">
        <f t="shared" si="14"/>
        <v>13500</v>
      </c>
      <c r="P68" s="408"/>
    </row>
    <row r="69" spans="1:16" ht="28.5">
      <c r="A69" s="114" t="s">
        <v>366</v>
      </c>
      <c r="B69" s="99" t="s">
        <v>450</v>
      </c>
      <c r="C69" s="23">
        <v>1570</v>
      </c>
      <c r="D69" s="22"/>
      <c r="E69" s="22"/>
      <c r="F69" s="23"/>
      <c r="G69" s="22"/>
      <c r="H69" s="39"/>
      <c r="I69" s="31"/>
      <c r="J69" s="31"/>
      <c r="K69" s="28"/>
      <c r="L69" s="28"/>
      <c r="M69" s="28"/>
      <c r="N69" s="28"/>
      <c r="O69" s="368">
        <f t="shared" si="14"/>
        <v>1570</v>
      </c>
      <c r="P69" s="408"/>
    </row>
    <row r="70" spans="1:16" ht="15">
      <c r="A70" s="89" t="s">
        <v>62</v>
      </c>
      <c r="B70" s="32" t="s">
        <v>270</v>
      </c>
      <c r="C70" s="34"/>
      <c r="D70" s="33"/>
      <c r="E70" s="33"/>
      <c r="F70" s="34"/>
      <c r="G70" s="33"/>
      <c r="H70" s="30"/>
      <c r="I70" s="31"/>
      <c r="J70" s="31"/>
      <c r="K70" s="28">
        <v>626</v>
      </c>
      <c r="L70" s="28"/>
      <c r="M70" s="28"/>
      <c r="N70" s="28">
        <v>2603</v>
      </c>
      <c r="O70" s="24">
        <f t="shared" si="14"/>
        <v>3229</v>
      </c>
      <c r="P70" s="408"/>
    </row>
    <row r="71" spans="1:16" ht="15">
      <c r="A71" s="86" t="s">
        <v>127</v>
      </c>
      <c r="B71" s="16" t="s">
        <v>128</v>
      </c>
      <c r="C71" s="18"/>
      <c r="D71" s="22"/>
      <c r="E71" s="22"/>
      <c r="F71" s="23"/>
      <c r="G71" s="22"/>
      <c r="H71" s="30"/>
      <c r="I71" s="31"/>
      <c r="J71" s="31"/>
      <c r="K71" s="28">
        <v>1537</v>
      </c>
      <c r="L71" s="28"/>
      <c r="M71" s="28"/>
      <c r="N71" s="28"/>
      <c r="O71" s="24">
        <f t="shared" si="14"/>
        <v>1537</v>
      </c>
      <c r="P71" s="408"/>
    </row>
    <row r="72" spans="1:16" ht="15">
      <c r="A72" s="86" t="s">
        <v>178</v>
      </c>
      <c r="B72" s="16" t="s">
        <v>179</v>
      </c>
      <c r="C72" s="18">
        <v>261568</v>
      </c>
      <c r="D72" s="23"/>
      <c r="E72" s="22"/>
      <c r="F72" s="23"/>
      <c r="G72" s="22"/>
      <c r="H72" s="30"/>
      <c r="I72" s="31"/>
      <c r="J72" s="31"/>
      <c r="K72" s="28">
        <v>43546</v>
      </c>
      <c r="L72" s="29"/>
      <c r="M72" s="29"/>
      <c r="N72" s="29"/>
      <c r="O72" s="24">
        <f t="shared" si="14"/>
        <v>305114</v>
      </c>
      <c r="P72" s="408"/>
    </row>
    <row r="73" spans="1:16" ht="15">
      <c r="A73" s="89" t="s">
        <v>63</v>
      </c>
      <c r="B73" s="32" t="s">
        <v>64</v>
      </c>
      <c r="C73" s="34">
        <f aca="true" t="shared" si="20" ref="C73:N73">SUM(C74:C77)</f>
        <v>2291409</v>
      </c>
      <c r="D73" s="34">
        <f t="shared" si="20"/>
        <v>254004</v>
      </c>
      <c r="E73" s="34">
        <f t="shared" si="20"/>
        <v>0</v>
      </c>
      <c r="F73" s="34">
        <f t="shared" si="20"/>
        <v>0</v>
      </c>
      <c r="G73" s="33">
        <f t="shared" si="20"/>
        <v>0</v>
      </c>
      <c r="H73" s="41">
        <f t="shared" si="20"/>
        <v>42642</v>
      </c>
      <c r="I73" s="34">
        <f t="shared" si="20"/>
        <v>19231</v>
      </c>
      <c r="J73" s="34">
        <f t="shared" si="20"/>
        <v>13769</v>
      </c>
      <c r="K73" s="34">
        <f t="shared" si="20"/>
        <v>65465</v>
      </c>
      <c r="L73" s="34">
        <f t="shared" si="20"/>
        <v>0</v>
      </c>
      <c r="M73" s="34">
        <f t="shared" si="20"/>
        <v>0</v>
      </c>
      <c r="N73" s="34">
        <f t="shared" si="20"/>
        <v>0</v>
      </c>
      <c r="O73" s="24">
        <f t="shared" si="14"/>
        <v>2686520</v>
      </c>
      <c r="P73" s="408"/>
    </row>
    <row r="74" spans="1:16" ht="15">
      <c r="A74" s="88" t="s">
        <v>271</v>
      </c>
      <c r="B74" s="21" t="s">
        <v>131</v>
      </c>
      <c r="C74" s="23">
        <f>1456962-74919</f>
        <v>1382043</v>
      </c>
      <c r="D74" s="22"/>
      <c r="E74" s="22"/>
      <c r="F74" s="23"/>
      <c r="G74" s="22"/>
      <c r="H74" s="26"/>
      <c r="I74" s="31"/>
      <c r="J74" s="27">
        <v>2846</v>
      </c>
      <c r="K74" s="28"/>
      <c r="L74" s="28"/>
      <c r="M74" s="28"/>
      <c r="N74" s="28"/>
      <c r="O74" s="24">
        <f t="shared" si="14"/>
        <v>1384889</v>
      </c>
      <c r="P74" s="408"/>
    </row>
    <row r="75" spans="1:16" ht="29.25">
      <c r="A75" s="88" t="s">
        <v>273</v>
      </c>
      <c r="B75" s="99" t="s">
        <v>276</v>
      </c>
      <c r="C75" s="23">
        <v>256117</v>
      </c>
      <c r="D75" s="22"/>
      <c r="E75" s="22"/>
      <c r="F75" s="23"/>
      <c r="G75" s="22"/>
      <c r="H75" s="30"/>
      <c r="I75" s="31"/>
      <c r="J75" s="27"/>
      <c r="K75" s="28"/>
      <c r="L75" s="28"/>
      <c r="M75" s="28"/>
      <c r="N75" s="28"/>
      <c r="O75" s="24">
        <f t="shared" si="14"/>
        <v>256117</v>
      </c>
      <c r="P75" s="408"/>
    </row>
    <row r="76" spans="1:16" ht="29.25">
      <c r="A76" s="88" t="s">
        <v>274</v>
      </c>
      <c r="B76" s="99" t="s">
        <v>277</v>
      </c>
      <c r="C76" s="23">
        <v>653249</v>
      </c>
      <c r="D76" s="22"/>
      <c r="E76" s="22"/>
      <c r="F76" s="23"/>
      <c r="G76" s="22"/>
      <c r="H76" s="30"/>
      <c r="I76" s="31"/>
      <c r="J76" s="31"/>
      <c r="K76" s="28"/>
      <c r="L76" s="28"/>
      <c r="M76" s="28"/>
      <c r="N76" s="28"/>
      <c r="O76" s="24">
        <f t="shared" si="14"/>
        <v>653249</v>
      </c>
      <c r="P76" s="408"/>
    </row>
    <row r="77" spans="1:16" ht="15">
      <c r="A77" s="88" t="s">
        <v>275</v>
      </c>
      <c r="B77" s="99" t="s">
        <v>360</v>
      </c>
      <c r="C77" s="23"/>
      <c r="D77" s="22">
        <v>254004</v>
      </c>
      <c r="E77" s="22"/>
      <c r="F77" s="23"/>
      <c r="G77" s="22"/>
      <c r="H77" s="325">
        <v>42642</v>
      </c>
      <c r="I77" s="27">
        <v>19231</v>
      </c>
      <c r="J77" s="27">
        <v>10923</v>
      </c>
      <c r="K77" s="29">
        <v>65465</v>
      </c>
      <c r="L77" s="29"/>
      <c r="M77" s="29"/>
      <c r="N77" s="29"/>
      <c r="O77" s="24">
        <f t="shared" si="14"/>
        <v>392265</v>
      </c>
      <c r="P77" s="408"/>
    </row>
    <row r="78" spans="1:16" ht="29.25">
      <c r="A78" s="88" t="s">
        <v>426</v>
      </c>
      <c r="B78" s="99" t="s">
        <v>427</v>
      </c>
      <c r="C78" s="23">
        <v>285</v>
      </c>
      <c r="D78" s="22"/>
      <c r="E78" s="22"/>
      <c r="F78" s="23"/>
      <c r="G78" s="22"/>
      <c r="H78" s="325"/>
      <c r="I78" s="31"/>
      <c r="J78" s="31"/>
      <c r="K78" s="29"/>
      <c r="L78" s="29"/>
      <c r="M78" s="29"/>
      <c r="N78" s="29"/>
      <c r="O78" s="24">
        <f t="shared" si="14"/>
        <v>285</v>
      </c>
      <c r="P78" s="408"/>
    </row>
    <row r="79" spans="1:16" ht="15">
      <c r="A79" s="89" t="s">
        <v>65</v>
      </c>
      <c r="B79" s="90" t="s">
        <v>66</v>
      </c>
      <c r="C79" s="34">
        <f>SUM(C80:C80)</f>
        <v>292022</v>
      </c>
      <c r="D79" s="22"/>
      <c r="E79" s="22"/>
      <c r="F79" s="23"/>
      <c r="G79" s="22"/>
      <c r="H79" s="41">
        <f aca="true" t="shared" si="21" ref="H79:N79">SUM(H80:H80)</f>
        <v>0</v>
      </c>
      <c r="I79" s="33">
        <f t="shared" si="21"/>
        <v>0</v>
      </c>
      <c r="J79" s="33">
        <f t="shared" si="21"/>
        <v>0</v>
      </c>
      <c r="K79" s="34">
        <f t="shared" si="21"/>
        <v>0</v>
      </c>
      <c r="L79" s="34">
        <f t="shared" si="21"/>
        <v>0</v>
      </c>
      <c r="M79" s="34">
        <f t="shared" si="21"/>
        <v>0</v>
      </c>
      <c r="N79" s="34">
        <f t="shared" si="21"/>
        <v>0</v>
      </c>
      <c r="O79" s="24">
        <f aca="true" t="shared" si="22" ref="O79:O85">SUM(C79:N79)</f>
        <v>292022</v>
      </c>
      <c r="P79" s="408"/>
    </row>
    <row r="80" spans="1:16" ht="15">
      <c r="A80" s="88" t="s">
        <v>278</v>
      </c>
      <c r="B80" s="21" t="s">
        <v>446</v>
      </c>
      <c r="C80" s="23">
        <v>292022</v>
      </c>
      <c r="D80" s="22"/>
      <c r="E80" s="22"/>
      <c r="F80" s="23"/>
      <c r="G80" s="22"/>
      <c r="H80" s="39"/>
      <c r="I80" s="31"/>
      <c r="J80" s="31"/>
      <c r="K80" s="28"/>
      <c r="L80" s="28"/>
      <c r="M80" s="28"/>
      <c r="N80" s="28"/>
      <c r="O80" s="24">
        <f t="shared" si="22"/>
        <v>292022</v>
      </c>
      <c r="P80" s="408"/>
    </row>
    <row r="81" spans="1:16" ht="15">
      <c r="A81" s="89" t="s">
        <v>67</v>
      </c>
      <c r="B81" s="90" t="s">
        <v>68</v>
      </c>
      <c r="C81" s="34">
        <f aca="true" t="shared" si="23" ref="C81:N81">SUM(C82:C82)</f>
        <v>142287</v>
      </c>
      <c r="D81" s="34">
        <f t="shared" si="23"/>
        <v>0</v>
      </c>
      <c r="E81" s="34">
        <f t="shared" si="23"/>
        <v>0</v>
      </c>
      <c r="F81" s="34">
        <f t="shared" si="23"/>
        <v>0</v>
      </c>
      <c r="G81" s="33">
        <f t="shared" si="23"/>
        <v>0</v>
      </c>
      <c r="H81" s="41">
        <f t="shared" si="23"/>
        <v>0</v>
      </c>
      <c r="I81" s="34">
        <f t="shared" si="23"/>
        <v>0</v>
      </c>
      <c r="J81" s="34">
        <f t="shared" si="23"/>
        <v>0</v>
      </c>
      <c r="K81" s="34">
        <f t="shared" si="23"/>
        <v>0</v>
      </c>
      <c r="L81" s="34">
        <f t="shared" si="23"/>
        <v>0</v>
      </c>
      <c r="M81" s="34">
        <f t="shared" si="23"/>
        <v>0</v>
      </c>
      <c r="N81" s="34">
        <f t="shared" si="23"/>
        <v>0</v>
      </c>
      <c r="O81" s="24">
        <f t="shared" si="22"/>
        <v>142287</v>
      </c>
      <c r="P81" s="408"/>
    </row>
    <row r="82" spans="1:16" ht="43.5" thickBot="1">
      <c r="A82" s="88" t="s">
        <v>279</v>
      </c>
      <c r="B82" s="357" t="s">
        <v>453</v>
      </c>
      <c r="C82" s="23">
        <v>142287</v>
      </c>
      <c r="D82" s="22"/>
      <c r="E82" s="22"/>
      <c r="F82" s="23"/>
      <c r="G82" s="22"/>
      <c r="H82" s="40"/>
      <c r="I82" s="22"/>
      <c r="J82" s="22"/>
      <c r="K82" s="23"/>
      <c r="L82" s="23"/>
      <c r="M82" s="23"/>
      <c r="N82" s="23"/>
      <c r="O82" s="24">
        <f t="shared" si="22"/>
        <v>142287</v>
      </c>
      <c r="P82" s="408"/>
    </row>
    <row r="83" spans="1:17" ht="15.75" thickBot="1">
      <c r="A83" s="94" t="s">
        <v>13</v>
      </c>
      <c r="B83" s="101" t="s">
        <v>69</v>
      </c>
      <c r="C83" s="84">
        <f aca="true" t="shared" si="24" ref="C83:N83">C84+C86+C89+C97</f>
        <v>6240879</v>
      </c>
      <c r="D83" s="84">
        <f t="shared" si="24"/>
        <v>5053850</v>
      </c>
      <c r="E83" s="84">
        <f t="shared" si="24"/>
        <v>0</v>
      </c>
      <c r="F83" s="84">
        <f t="shared" si="24"/>
        <v>0</v>
      </c>
      <c r="G83" s="84">
        <f t="shared" si="24"/>
        <v>0</v>
      </c>
      <c r="H83" s="84">
        <f t="shared" si="24"/>
        <v>56351</v>
      </c>
      <c r="I83" s="84">
        <f t="shared" si="24"/>
        <v>0</v>
      </c>
      <c r="J83" s="84">
        <f t="shared" si="24"/>
        <v>17457</v>
      </c>
      <c r="K83" s="84">
        <f t="shared" si="24"/>
        <v>46165</v>
      </c>
      <c r="L83" s="84">
        <f t="shared" si="24"/>
        <v>2063</v>
      </c>
      <c r="M83" s="84">
        <f t="shared" si="24"/>
        <v>12311</v>
      </c>
      <c r="N83" s="84">
        <f t="shared" si="24"/>
        <v>0</v>
      </c>
      <c r="O83" s="85">
        <f t="shared" si="22"/>
        <v>11429076</v>
      </c>
      <c r="P83" s="408"/>
      <c r="Q83" s="76"/>
    </row>
    <row r="84" spans="1:16" ht="15">
      <c r="A84" s="86" t="s">
        <v>70</v>
      </c>
      <c r="B84" s="102" t="s">
        <v>71</v>
      </c>
      <c r="C84" s="18">
        <f>SUM(C85:C85)</f>
        <v>77176</v>
      </c>
      <c r="D84" s="18">
        <f>SUM(D85:D85)</f>
        <v>419049</v>
      </c>
      <c r="E84" s="17"/>
      <c r="F84" s="18"/>
      <c r="G84" s="17"/>
      <c r="H84" s="320">
        <f aca="true" t="shared" si="25" ref="H84:N84">SUM(H85:H85)</f>
        <v>23690</v>
      </c>
      <c r="I84" s="320">
        <f t="shared" si="25"/>
        <v>0</v>
      </c>
      <c r="J84" s="320">
        <f t="shared" si="25"/>
        <v>17457</v>
      </c>
      <c r="K84" s="320">
        <f t="shared" si="25"/>
        <v>23880</v>
      </c>
      <c r="L84" s="320">
        <f t="shared" si="25"/>
        <v>2063</v>
      </c>
      <c r="M84" s="320">
        <f t="shared" si="25"/>
        <v>5691</v>
      </c>
      <c r="N84" s="320">
        <f t="shared" si="25"/>
        <v>0</v>
      </c>
      <c r="O84" s="321">
        <f t="shared" si="22"/>
        <v>569006</v>
      </c>
      <c r="P84" s="408"/>
    </row>
    <row r="85" spans="1:16" ht="29.25">
      <c r="A85" s="88" t="s">
        <v>280</v>
      </c>
      <c r="B85" s="21" t="s">
        <v>237</v>
      </c>
      <c r="C85" s="23">
        <v>77176</v>
      </c>
      <c r="D85" s="22">
        <v>419049</v>
      </c>
      <c r="E85" s="22"/>
      <c r="F85" s="23"/>
      <c r="G85" s="22"/>
      <c r="H85" s="26">
        <v>23690</v>
      </c>
      <c r="I85" s="31"/>
      <c r="J85" s="27">
        <v>17457</v>
      </c>
      <c r="K85" s="28">
        <v>23880</v>
      </c>
      <c r="L85" s="28">
        <v>2063</v>
      </c>
      <c r="M85" s="28">
        <v>5691</v>
      </c>
      <c r="N85" s="28"/>
      <c r="O85" s="24">
        <f t="shared" si="22"/>
        <v>569006</v>
      </c>
      <c r="P85" s="408"/>
    </row>
    <row r="86" spans="1:16" ht="15">
      <c r="A86" s="89" t="s">
        <v>72</v>
      </c>
      <c r="B86" s="90" t="s">
        <v>73</v>
      </c>
      <c r="C86" s="34">
        <f>SUM(C87:C88)</f>
        <v>0</v>
      </c>
      <c r="D86" s="34">
        <f>SUM(D87:D88)</f>
        <v>4634801</v>
      </c>
      <c r="E86" s="34">
        <f>SUM(E87:E88)</f>
        <v>0</v>
      </c>
      <c r="F86" s="34">
        <f>SUM(F87:F88)</f>
        <v>0</v>
      </c>
      <c r="G86" s="33"/>
      <c r="H86" s="41">
        <f aca="true" t="shared" si="26" ref="H86:N86">SUM(H87:H88)</f>
        <v>32661</v>
      </c>
      <c r="I86" s="33">
        <f t="shared" si="26"/>
        <v>0</v>
      </c>
      <c r="J86" s="33">
        <f t="shared" si="26"/>
        <v>0</v>
      </c>
      <c r="K86" s="34">
        <f t="shared" si="26"/>
        <v>22285</v>
      </c>
      <c r="L86" s="34">
        <f t="shared" si="26"/>
        <v>0</v>
      </c>
      <c r="M86" s="34">
        <f t="shared" si="26"/>
        <v>6620</v>
      </c>
      <c r="N86" s="34">
        <f t="shared" si="26"/>
        <v>0</v>
      </c>
      <c r="O86" s="24">
        <f aca="true" t="shared" si="27" ref="O86:O111">SUM(C86:N86)</f>
        <v>4696367</v>
      </c>
      <c r="P86" s="408"/>
    </row>
    <row r="87" spans="1:16" ht="15">
      <c r="A87" s="88" t="s">
        <v>281</v>
      </c>
      <c r="B87" s="99" t="s">
        <v>146</v>
      </c>
      <c r="C87" s="23"/>
      <c r="D87" s="22">
        <v>8608</v>
      </c>
      <c r="E87" s="22"/>
      <c r="F87" s="23"/>
      <c r="G87" s="22"/>
      <c r="H87" s="26"/>
      <c r="I87" s="31"/>
      <c r="J87" s="31"/>
      <c r="K87" s="28"/>
      <c r="L87" s="28"/>
      <c r="M87" s="28"/>
      <c r="N87" s="28"/>
      <c r="O87" s="24">
        <f t="shared" si="27"/>
        <v>8608</v>
      </c>
      <c r="P87" s="408"/>
    </row>
    <row r="88" spans="1:16" ht="15">
      <c r="A88" s="103" t="s">
        <v>282</v>
      </c>
      <c r="B88" s="104" t="s">
        <v>133</v>
      </c>
      <c r="C88" s="45"/>
      <c r="D88" s="44">
        <v>4626193</v>
      </c>
      <c r="E88" s="44"/>
      <c r="F88" s="45"/>
      <c r="G88" s="44"/>
      <c r="H88" s="46">
        <v>32661</v>
      </c>
      <c r="I88" s="48"/>
      <c r="J88" s="48"/>
      <c r="K88" s="47">
        <v>22285</v>
      </c>
      <c r="L88" s="47"/>
      <c r="M88" s="47">
        <v>6620</v>
      </c>
      <c r="N88" s="47"/>
      <c r="O88" s="24">
        <f t="shared" si="27"/>
        <v>4687759</v>
      </c>
      <c r="P88" s="408"/>
    </row>
    <row r="89" spans="1:16" s="78" customFormat="1" ht="30">
      <c r="A89" s="89" t="s">
        <v>285</v>
      </c>
      <c r="B89" s="102" t="s">
        <v>286</v>
      </c>
      <c r="C89" s="18">
        <f aca="true" t="shared" si="28" ref="C89:N89">SUM(C90:C96)</f>
        <v>6163703</v>
      </c>
      <c r="D89" s="18">
        <f t="shared" si="28"/>
        <v>0</v>
      </c>
      <c r="E89" s="18">
        <f t="shared" si="28"/>
        <v>0</v>
      </c>
      <c r="F89" s="18">
        <f t="shared" si="28"/>
        <v>0</v>
      </c>
      <c r="G89" s="18">
        <f t="shared" si="28"/>
        <v>0</v>
      </c>
      <c r="H89" s="18">
        <f t="shared" si="28"/>
        <v>0</v>
      </c>
      <c r="I89" s="18">
        <f t="shared" si="28"/>
        <v>0</v>
      </c>
      <c r="J89" s="18">
        <f t="shared" si="28"/>
        <v>0</v>
      </c>
      <c r="K89" s="18">
        <f t="shared" si="28"/>
        <v>0</v>
      </c>
      <c r="L89" s="18">
        <f t="shared" si="28"/>
        <v>0</v>
      </c>
      <c r="M89" s="18">
        <f t="shared" si="28"/>
        <v>0</v>
      </c>
      <c r="N89" s="18">
        <f t="shared" si="28"/>
        <v>0</v>
      </c>
      <c r="O89" s="24">
        <f t="shared" si="27"/>
        <v>6163703</v>
      </c>
      <c r="P89" s="408"/>
    </row>
    <row r="90" spans="1:16" ht="15">
      <c r="A90" s="88" t="s">
        <v>298</v>
      </c>
      <c r="B90" s="21" t="s">
        <v>239</v>
      </c>
      <c r="C90" s="87">
        <v>1423</v>
      </c>
      <c r="D90" s="87"/>
      <c r="E90" s="87"/>
      <c r="F90" s="87"/>
      <c r="G90" s="87"/>
      <c r="H90" s="359"/>
      <c r="I90" s="360"/>
      <c r="J90" s="360"/>
      <c r="K90" s="61"/>
      <c r="L90" s="61"/>
      <c r="M90" s="61"/>
      <c r="N90" s="61"/>
      <c r="O90" s="24">
        <f t="shared" si="27"/>
        <v>1423</v>
      </c>
      <c r="P90" s="408"/>
    </row>
    <row r="91" spans="1:16" ht="43.5">
      <c r="A91" s="88" t="s">
        <v>429</v>
      </c>
      <c r="B91" s="115" t="s">
        <v>430</v>
      </c>
      <c r="C91" s="87">
        <v>964482</v>
      </c>
      <c r="D91" s="87"/>
      <c r="E91" s="87"/>
      <c r="F91" s="87"/>
      <c r="G91" s="87"/>
      <c r="H91" s="359"/>
      <c r="I91" s="360"/>
      <c r="J91" s="360"/>
      <c r="K91" s="61"/>
      <c r="L91" s="61"/>
      <c r="M91" s="61"/>
      <c r="N91" s="61"/>
      <c r="O91" s="24">
        <f t="shared" si="27"/>
        <v>964482</v>
      </c>
      <c r="P91" s="408"/>
    </row>
    <row r="92" spans="1:16" ht="43.5">
      <c r="A92" s="88" t="s">
        <v>431</v>
      </c>
      <c r="B92" s="115" t="s">
        <v>432</v>
      </c>
      <c r="C92" s="87">
        <v>1128576</v>
      </c>
      <c r="D92" s="87"/>
      <c r="E92" s="87"/>
      <c r="F92" s="87"/>
      <c r="G92" s="87"/>
      <c r="H92" s="359"/>
      <c r="I92" s="360"/>
      <c r="J92" s="360"/>
      <c r="K92" s="61"/>
      <c r="L92" s="61"/>
      <c r="M92" s="61"/>
      <c r="N92" s="61"/>
      <c r="O92" s="24">
        <f t="shared" si="27"/>
        <v>1128576</v>
      </c>
      <c r="P92" s="408"/>
    </row>
    <row r="93" spans="1:16" ht="43.5">
      <c r="A93" s="88" t="s">
        <v>433</v>
      </c>
      <c r="B93" s="115" t="s">
        <v>437</v>
      </c>
      <c r="C93" s="87">
        <v>1050671</v>
      </c>
      <c r="D93" s="87"/>
      <c r="E93" s="87"/>
      <c r="F93" s="87"/>
      <c r="G93" s="87"/>
      <c r="H93" s="359"/>
      <c r="I93" s="360"/>
      <c r="J93" s="360"/>
      <c r="K93" s="61"/>
      <c r="L93" s="61"/>
      <c r="M93" s="61"/>
      <c r="N93" s="61"/>
      <c r="O93" s="24">
        <f t="shared" si="27"/>
        <v>1050671</v>
      </c>
      <c r="P93" s="408"/>
    </row>
    <row r="94" spans="1:16" ht="43.5">
      <c r="A94" s="88" t="s">
        <v>434</v>
      </c>
      <c r="B94" s="115" t="s">
        <v>438</v>
      </c>
      <c r="C94" s="87">
        <v>905195</v>
      </c>
      <c r="D94" s="87"/>
      <c r="E94" s="87"/>
      <c r="F94" s="87"/>
      <c r="G94" s="87"/>
      <c r="H94" s="359"/>
      <c r="I94" s="360"/>
      <c r="J94" s="360"/>
      <c r="K94" s="61"/>
      <c r="L94" s="61"/>
      <c r="M94" s="61"/>
      <c r="N94" s="61"/>
      <c r="O94" s="24">
        <f t="shared" si="27"/>
        <v>905195</v>
      </c>
      <c r="P94" s="408"/>
    </row>
    <row r="95" spans="1:16" ht="43.5">
      <c r="A95" s="88" t="s">
        <v>435</v>
      </c>
      <c r="B95" s="115" t="s">
        <v>439</v>
      </c>
      <c r="C95" s="87">
        <v>1078399</v>
      </c>
      <c r="D95" s="87"/>
      <c r="E95" s="87"/>
      <c r="F95" s="87"/>
      <c r="G95" s="87"/>
      <c r="H95" s="359"/>
      <c r="I95" s="360"/>
      <c r="J95" s="360"/>
      <c r="K95" s="61"/>
      <c r="L95" s="61"/>
      <c r="M95" s="61"/>
      <c r="N95" s="61"/>
      <c r="O95" s="24">
        <f t="shared" si="27"/>
        <v>1078399</v>
      </c>
      <c r="P95" s="408"/>
    </row>
    <row r="96" spans="1:16" ht="43.5">
      <c r="A96" s="88" t="s">
        <v>436</v>
      </c>
      <c r="B96" s="115" t="s">
        <v>440</v>
      </c>
      <c r="C96" s="87">
        <v>1034957</v>
      </c>
      <c r="D96" s="87"/>
      <c r="E96" s="87"/>
      <c r="F96" s="87"/>
      <c r="G96" s="87"/>
      <c r="H96" s="359"/>
      <c r="I96" s="360"/>
      <c r="J96" s="360"/>
      <c r="K96" s="61"/>
      <c r="L96" s="61"/>
      <c r="M96" s="61"/>
      <c r="N96" s="61"/>
      <c r="O96" s="24">
        <f t="shared" si="27"/>
        <v>1034957</v>
      </c>
      <c r="P96" s="408"/>
    </row>
    <row r="97" spans="1:16" s="78" customFormat="1" ht="30" customHeight="1" thickBot="1">
      <c r="A97" s="86" t="s">
        <v>283</v>
      </c>
      <c r="B97" s="102" t="s">
        <v>284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358">
        <f t="shared" si="27"/>
        <v>0</v>
      </c>
      <c r="P97" s="408"/>
    </row>
    <row r="98" spans="1:17" ht="30.75" thickBot="1">
      <c r="A98" s="94" t="s">
        <v>14</v>
      </c>
      <c r="B98" s="101" t="s">
        <v>74</v>
      </c>
      <c r="C98" s="84">
        <f>SUM(C99:C104)</f>
        <v>2258580</v>
      </c>
      <c r="D98" s="84">
        <f>SUM(D99:D104)</f>
        <v>10949025</v>
      </c>
      <c r="E98" s="84">
        <f>SUM(E99:E104)</f>
        <v>0</v>
      </c>
      <c r="F98" s="84">
        <f>SUM(F99:F104)</f>
        <v>0</v>
      </c>
      <c r="G98" s="83"/>
      <c r="H98" s="304">
        <f>SUM(H99:H104)</f>
        <v>781126</v>
      </c>
      <c r="I98" s="83">
        <f aca="true" t="shared" si="29" ref="I98:N98">SUM(I99:I104)</f>
        <v>434527</v>
      </c>
      <c r="J98" s="83">
        <f t="shared" si="29"/>
        <v>148376</v>
      </c>
      <c r="K98" s="84">
        <f t="shared" si="29"/>
        <v>398808</v>
      </c>
      <c r="L98" s="84">
        <f t="shared" si="29"/>
        <v>23809</v>
      </c>
      <c r="M98" s="84">
        <f t="shared" si="29"/>
        <v>168759</v>
      </c>
      <c r="N98" s="84">
        <f t="shared" si="29"/>
        <v>84773</v>
      </c>
      <c r="O98" s="85">
        <f t="shared" si="27"/>
        <v>15247783</v>
      </c>
      <c r="P98" s="408"/>
      <c r="Q98" s="76"/>
    </row>
    <row r="99" spans="1:16" ht="15">
      <c r="A99" s="86" t="s">
        <v>367</v>
      </c>
      <c r="B99" s="102" t="s">
        <v>238</v>
      </c>
      <c r="C99" s="18"/>
      <c r="D99" s="17"/>
      <c r="E99" s="57"/>
      <c r="F99" s="87"/>
      <c r="G99" s="57"/>
      <c r="H99" s="307"/>
      <c r="J99" s="59"/>
      <c r="K99" s="60"/>
      <c r="L99" s="60"/>
      <c r="M99" s="60"/>
      <c r="N99" s="60"/>
      <c r="O99" s="321">
        <f t="shared" si="27"/>
        <v>0</v>
      </c>
      <c r="P99" s="408"/>
    </row>
    <row r="100" spans="1:16" ht="15">
      <c r="A100" s="89" t="s">
        <v>75</v>
      </c>
      <c r="B100" s="90" t="s">
        <v>357</v>
      </c>
      <c r="C100" s="23">
        <v>38253</v>
      </c>
      <c r="D100" s="33"/>
      <c r="E100" s="22"/>
      <c r="F100" s="23"/>
      <c r="G100" s="22"/>
      <c r="H100" s="30"/>
      <c r="I100" s="31"/>
      <c r="J100" s="31"/>
      <c r="K100" s="28"/>
      <c r="L100" s="28"/>
      <c r="M100" s="28"/>
      <c r="N100" s="28"/>
      <c r="O100" s="24">
        <f t="shared" si="27"/>
        <v>38253</v>
      </c>
      <c r="P100" s="408"/>
    </row>
    <row r="101" spans="1:16" ht="15">
      <c r="A101" s="89" t="s">
        <v>76</v>
      </c>
      <c r="B101" s="90" t="s">
        <v>77</v>
      </c>
      <c r="C101" s="23"/>
      <c r="D101" s="33">
        <v>115420</v>
      </c>
      <c r="E101" s="22"/>
      <c r="F101" s="23"/>
      <c r="G101" s="22"/>
      <c r="H101" s="26">
        <v>16756</v>
      </c>
      <c r="I101" s="31"/>
      <c r="J101" s="27">
        <v>10088</v>
      </c>
      <c r="K101" s="28">
        <v>36012</v>
      </c>
      <c r="L101" s="28"/>
      <c r="M101" s="28">
        <v>5573</v>
      </c>
      <c r="N101" s="28">
        <v>81334</v>
      </c>
      <c r="O101" s="24">
        <f t="shared" si="27"/>
        <v>265183</v>
      </c>
      <c r="P101" s="408"/>
    </row>
    <row r="102" spans="1:16" ht="30">
      <c r="A102" s="89" t="s">
        <v>368</v>
      </c>
      <c r="B102" s="90" t="s">
        <v>369</v>
      </c>
      <c r="C102" s="23"/>
      <c r="D102" s="33"/>
      <c r="E102" s="22"/>
      <c r="F102" s="23"/>
      <c r="G102" s="22"/>
      <c r="H102" s="26">
        <v>536576</v>
      </c>
      <c r="I102" s="27">
        <v>250415</v>
      </c>
      <c r="J102" s="27"/>
      <c r="K102" s="28">
        <v>2846</v>
      </c>
      <c r="L102" s="28"/>
      <c r="M102" s="28"/>
      <c r="N102" s="28"/>
      <c r="O102" s="24">
        <f t="shared" si="27"/>
        <v>789837</v>
      </c>
      <c r="P102" s="408"/>
    </row>
    <row r="103" spans="1:16" ht="15">
      <c r="A103" s="89" t="s">
        <v>78</v>
      </c>
      <c r="B103" s="90" t="s">
        <v>79</v>
      </c>
      <c r="C103" s="34">
        <v>367428</v>
      </c>
      <c r="D103" s="33">
        <v>2277</v>
      </c>
      <c r="E103" s="22"/>
      <c r="F103" s="23"/>
      <c r="G103" s="22"/>
      <c r="H103" s="26">
        <v>4339</v>
      </c>
      <c r="I103" s="27">
        <v>7114</v>
      </c>
      <c r="J103" s="31"/>
      <c r="K103" s="28">
        <v>3598</v>
      </c>
      <c r="L103" s="28"/>
      <c r="M103" s="28"/>
      <c r="N103" s="28">
        <v>1138</v>
      </c>
      <c r="O103" s="24">
        <f t="shared" si="27"/>
        <v>385894</v>
      </c>
      <c r="P103" s="408"/>
    </row>
    <row r="104" spans="1:16" ht="45">
      <c r="A104" s="89" t="s">
        <v>80</v>
      </c>
      <c r="B104" s="90" t="s">
        <v>81</v>
      </c>
      <c r="C104" s="34">
        <f aca="true" t="shared" si="30" ref="C104:H104">SUM(C105:C115)</f>
        <v>1852899</v>
      </c>
      <c r="D104" s="34">
        <f t="shared" si="30"/>
        <v>10831328</v>
      </c>
      <c r="E104" s="34">
        <f t="shared" si="30"/>
        <v>0</v>
      </c>
      <c r="F104" s="34">
        <f t="shared" si="30"/>
        <v>0</v>
      </c>
      <c r="G104" s="34">
        <f t="shared" si="30"/>
        <v>0</v>
      </c>
      <c r="H104" s="42">
        <f t="shared" si="30"/>
        <v>223455</v>
      </c>
      <c r="I104" s="33">
        <f aca="true" t="shared" si="31" ref="I104:N104">SUM(I105:I115)</f>
        <v>176998</v>
      </c>
      <c r="J104" s="33">
        <f t="shared" si="31"/>
        <v>138288</v>
      </c>
      <c r="K104" s="34">
        <f>SUM(K105:K115)</f>
        <v>356352</v>
      </c>
      <c r="L104" s="34">
        <f t="shared" si="31"/>
        <v>23809</v>
      </c>
      <c r="M104" s="34">
        <f t="shared" si="31"/>
        <v>163186</v>
      </c>
      <c r="N104" s="34">
        <f t="shared" si="31"/>
        <v>2301</v>
      </c>
      <c r="O104" s="24">
        <f t="shared" si="27"/>
        <v>13768616</v>
      </c>
      <c r="P104" s="408"/>
    </row>
    <row r="105" spans="1:16" ht="15">
      <c r="A105" s="88" t="s">
        <v>287</v>
      </c>
      <c r="B105" s="99" t="s">
        <v>148</v>
      </c>
      <c r="C105" s="23"/>
      <c r="D105" s="22">
        <v>4962010</v>
      </c>
      <c r="E105" s="22"/>
      <c r="F105" s="23"/>
      <c r="G105" s="22"/>
      <c r="H105" s="302">
        <v>23476</v>
      </c>
      <c r="I105" s="58">
        <v>155330</v>
      </c>
      <c r="J105" s="27">
        <v>8182</v>
      </c>
      <c r="K105" s="28"/>
      <c r="L105" s="28">
        <v>21236</v>
      </c>
      <c r="M105" s="28">
        <v>96190</v>
      </c>
      <c r="N105" s="28"/>
      <c r="O105" s="24">
        <f t="shared" si="27"/>
        <v>5266424</v>
      </c>
      <c r="P105" s="408"/>
    </row>
    <row r="106" spans="1:16" ht="15">
      <c r="A106" s="88" t="s">
        <v>288</v>
      </c>
      <c r="B106" s="99" t="s">
        <v>149</v>
      </c>
      <c r="C106" s="23"/>
      <c r="D106" s="22">
        <v>5869318</v>
      </c>
      <c r="E106" s="22"/>
      <c r="F106" s="23"/>
      <c r="G106" s="22"/>
      <c r="H106" s="302">
        <v>167910</v>
      </c>
      <c r="I106" s="31"/>
      <c r="J106" s="27">
        <v>96196</v>
      </c>
      <c r="K106" s="28">
        <v>242180</v>
      </c>
      <c r="L106" s="28"/>
      <c r="M106" s="28"/>
      <c r="N106" s="28"/>
      <c r="O106" s="24">
        <f t="shared" si="27"/>
        <v>6375604</v>
      </c>
      <c r="P106" s="408"/>
    </row>
    <row r="107" spans="1:16" ht="15">
      <c r="A107" s="88" t="s">
        <v>289</v>
      </c>
      <c r="B107" s="99" t="s">
        <v>150</v>
      </c>
      <c r="C107" s="23">
        <v>53499</v>
      </c>
      <c r="D107" s="22"/>
      <c r="E107" s="22"/>
      <c r="F107" s="23"/>
      <c r="G107" s="22"/>
      <c r="H107" s="26">
        <v>6484</v>
      </c>
      <c r="I107" s="31"/>
      <c r="J107" s="31"/>
      <c r="K107" s="28">
        <v>9075</v>
      </c>
      <c r="L107" s="28">
        <v>2573</v>
      </c>
      <c r="M107" s="28"/>
      <c r="N107" s="28">
        <v>2301</v>
      </c>
      <c r="O107" s="24">
        <f t="shared" si="27"/>
        <v>73932</v>
      </c>
      <c r="P107" s="408"/>
    </row>
    <row r="108" spans="1:16" ht="29.25">
      <c r="A108" s="88" t="s">
        <v>290</v>
      </c>
      <c r="B108" s="99" t="s">
        <v>428</v>
      </c>
      <c r="C108" s="87">
        <v>99026</v>
      </c>
      <c r="D108" s="22"/>
      <c r="E108" s="22"/>
      <c r="F108" s="23"/>
      <c r="G108" s="22"/>
      <c r="H108" s="30"/>
      <c r="I108" s="31"/>
      <c r="J108" s="31"/>
      <c r="K108" s="28"/>
      <c r="L108" s="28"/>
      <c r="M108" s="28"/>
      <c r="N108" s="28"/>
      <c r="O108" s="24">
        <f t="shared" si="27"/>
        <v>99026</v>
      </c>
      <c r="P108" s="408"/>
    </row>
    <row r="109" spans="1:16" ht="15">
      <c r="A109" s="88" t="s">
        <v>291</v>
      </c>
      <c r="B109" s="99" t="s">
        <v>441</v>
      </c>
      <c r="C109" s="22">
        <v>42686</v>
      </c>
      <c r="D109" s="22"/>
      <c r="E109" s="22"/>
      <c r="F109" s="23"/>
      <c r="G109" s="22"/>
      <c r="H109" s="30"/>
      <c r="I109" s="31"/>
      <c r="J109" s="31"/>
      <c r="K109" s="28"/>
      <c r="L109" s="28"/>
      <c r="M109" s="28"/>
      <c r="N109" s="28"/>
      <c r="O109" s="24">
        <f t="shared" si="27"/>
        <v>42686</v>
      </c>
      <c r="P109" s="408"/>
    </row>
    <row r="110" spans="1:16" ht="29.25">
      <c r="A110" s="88" t="s">
        <v>292</v>
      </c>
      <c r="B110" s="107" t="s">
        <v>180</v>
      </c>
      <c r="C110" s="87">
        <v>35600</v>
      </c>
      <c r="D110" s="22"/>
      <c r="E110" s="22"/>
      <c r="F110" s="23"/>
      <c r="G110" s="22"/>
      <c r="H110" s="26">
        <v>4909</v>
      </c>
      <c r="I110" s="31"/>
      <c r="J110" s="27">
        <v>2134</v>
      </c>
      <c r="K110" s="28">
        <v>853</v>
      </c>
      <c r="L110" s="28"/>
      <c r="M110" s="28"/>
      <c r="N110" s="28"/>
      <c r="O110" s="24">
        <f t="shared" si="27"/>
        <v>43496</v>
      </c>
      <c r="P110" s="408"/>
    </row>
    <row r="111" spans="1:16" ht="15">
      <c r="A111" s="88" t="s">
        <v>293</v>
      </c>
      <c r="B111" s="108" t="s">
        <v>152</v>
      </c>
      <c r="C111" s="87">
        <v>47000</v>
      </c>
      <c r="D111" s="23"/>
      <c r="E111" s="23"/>
      <c r="F111" s="23"/>
      <c r="G111" s="22"/>
      <c r="H111" s="26">
        <v>20676</v>
      </c>
      <c r="I111" s="31"/>
      <c r="J111" s="27">
        <v>31776</v>
      </c>
      <c r="K111" s="28"/>
      <c r="L111" s="28"/>
      <c r="M111" s="28"/>
      <c r="N111" s="28"/>
      <c r="O111" s="24">
        <f t="shared" si="27"/>
        <v>99452</v>
      </c>
      <c r="P111" s="408"/>
    </row>
    <row r="112" spans="1:16" ht="15">
      <c r="A112" s="88" t="s">
        <v>294</v>
      </c>
      <c r="B112" s="99" t="s">
        <v>144</v>
      </c>
      <c r="C112" s="22">
        <v>6000</v>
      </c>
      <c r="D112" s="22"/>
      <c r="E112" s="22"/>
      <c r="F112" s="22"/>
      <c r="G112" s="22"/>
      <c r="H112" s="30"/>
      <c r="I112" s="31"/>
      <c r="J112" s="31"/>
      <c r="K112" s="28"/>
      <c r="L112" s="28"/>
      <c r="M112" s="28"/>
      <c r="N112" s="28"/>
      <c r="O112" s="24">
        <f aca="true" t="shared" si="32" ref="O112:O135">SUM(C112:N112)</f>
        <v>6000</v>
      </c>
      <c r="P112" s="408"/>
    </row>
    <row r="113" spans="1:16" ht="15">
      <c r="A113" s="88" t="s">
        <v>295</v>
      </c>
      <c r="B113" s="404" t="s">
        <v>361</v>
      </c>
      <c r="C113" s="87"/>
      <c r="D113" s="87"/>
      <c r="E113" s="87"/>
      <c r="F113" s="87"/>
      <c r="G113" s="57"/>
      <c r="H113" s="359"/>
      <c r="I113" s="27">
        <v>21668</v>
      </c>
      <c r="J113" s="31"/>
      <c r="K113" s="28">
        <v>104244</v>
      </c>
      <c r="L113" s="61"/>
      <c r="M113" s="28">
        <v>66996</v>
      </c>
      <c r="N113" s="61"/>
      <c r="O113" s="24">
        <f t="shared" si="32"/>
        <v>192908</v>
      </c>
      <c r="P113" s="408"/>
    </row>
    <row r="114" spans="1:16" ht="57.75">
      <c r="A114" s="88" t="s">
        <v>442</v>
      </c>
      <c r="B114" s="405" t="s">
        <v>443</v>
      </c>
      <c r="C114" s="23">
        <v>1014168</v>
      </c>
      <c r="D114" s="23"/>
      <c r="E114" s="23"/>
      <c r="F114" s="23"/>
      <c r="G114" s="22"/>
      <c r="H114" s="120"/>
      <c r="I114" s="27"/>
      <c r="J114" s="31"/>
      <c r="K114" s="28"/>
      <c r="L114" s="29"/>
      <c r="M114" s="28"/>
      <c r="N114" s="29"/>
      <c r="O114" s="24">
        <f t="shared" si="32"/>
        <v>1014168</v>
      </c>
      <c r="P114" s="408"/>
    </row>
    <row r="115" spans="1:16" ht="58.5" thickBot="1">
      <c r="A115" s="114" t="s">
        <v>445</v>
      </c>
      <c r="B115" s="370" t="s">
        <v>444</v>
      </c>
      <c r="C115" s="110">
        <v>554920</v>
      </c>
      <c r="D115" s="110"/>
      <c r="E115" s="110"/>
      <c r="F115" s="110"/>
      <c r="G115" s="109"/>
      <c r="H115" s="111"/>
      <c r="I115" s="403"/>
      <c r="J115" s="326"/>
      <c r="K115" s="393"/>
      <c r="L115" s="112"/>
      <c r="M115" s="393"/>
      <c r="N115" s="112"/>
      <c r="O115" s="19">
        <f t="shared" si="32"/>
        <v>554920</v>
      </c>
      <c r="P115" s="408"/>
    </row>
    <row r="116" spans="1:17" ht="15.75" thickBot="1">
      <c r="A116" s="94" t="s">
        <v>7</v>
      </c>
      <c r="B116" s="82" t="s">
        <v>82</v>
      </c>
      <c r="C116" s="84">
        <f aca="true" t="shared" si="33" ref="C116:N116">SUM(C117)</f>
        <v>996</v>
      </c>
      <c r="D116" s="84">
        <f t="shared" si="33"/>
        <v>0</v>
      </c>
      <c r="E116" s="84">
        <f t="shared" si="33"/>
        <v>0</v>
      </c>
      <c r="F116" s="84">
        <f t="shared" si="33"/>
        <v>571995</v>
      </c>
      <c r="G116" s="84">
        <f t="shared" si="33"/>
        <v>0</v>
      </c>
      <c r="H116" s="84">
        <f t="shared" si="33"/>
        <v>2078</v>
      </c>
      <c r="I116" s="84">
        <f t="shared" si="33"/>
        <v>0</v>
      </c>
      <c r="J116" s="84">
        <f t="shared" si="33"/>
        <v>0</v>
      </c>
      <c r="K116" s="84">
        <f t="shared" si="33"/>
        <v>0</v>
      </c>
      <c r="L116" s="84">
        <f t="shared" si="33"/>
        <v>2134</v>
      </c>
      <c r="M116" s="84">
        <f t="shared" si="33"/>
        <v>21327</v>
      </c>
      <c r="N116" s="84">
        <f t="shared" si="33"/>
        <v>2304</v>
      </c>
      <c r="O116" s="321">
        <f t="shared" si="32"/>
        <v>600834</v>
      </c>
      <c r="P116" s="408"/>
      <c r="Q116" s="76"/>
    </row>
    <row r="117" spans="1:16" s="78" customFormat="1" ht="15">
      <c r="A117" s="86" t="s">
        <v>83</v>
      </c>
      <c r="B117" s="16" t="s">
        <v>84</v>
      </c>
      <c r="C117" s="18">
        <f aca="true" t="shared" si="34" ref="C117:N117">SUM(C118:C120)</f>
        <v>996</v>
      </c>
      <c r="D117" s="18">
        <f t="shared" si="34"/>
        <v>0</v>
      </c>
      <c r="E117" s="18">
        <f>SUM(E118:E120)</f>
        <v>0</v>
      </c>
      <c r="F117" s="18">
        <f t="shared" si="34"/>
        <v>571995</v>
      </c>
      <c r="G117" s="18">
        <f t="shared" si="34"/>
        <v>0</v>
      </c>
      <c r="H117" s="18">
        <f t="shared" si="34"/>
        <v>2078</v>
      </c>
      <c r="I117" s="18">
        <f t="shared" si="34"/>
        <v>0</v>
      </c>
      <c r="J117" s="18">
        <f t="shared" si="34"/>
        <v>0</v>
      </c>
      <c r="K117" s="18">
        <f t="shared" si="34"/>
        <v>0</v>
      </c>
      <c r="L117" s="18">
        <f t="shared" si="34"/>
        <v>2134</v>
      </c>
      <c r="M117" s="18">
        <f t="shared" si="34"/>
        <v>21327</v>
      </c>
      <c r="N117" s="18">
        <f t="shared" si="34"/>
        <v>2304</v>
      </c>
      <c r="O117" s="358">
        <f t="shared" si="32"/>
        <v>600834</v>
      </c>
      <c r="P117" s="408"/>
    </row>
    <row r="118" spans="1:16" ht="15">
      <c r="A118" s="88" t="s">
        <v>296</v>
      </c>
      <c r="B118" s="21" t="s">
        <v>85</v>
      </c>
      <c r="C118" s="23"/>
      <c r="D118" s="22"/>
      <c r="E118" s="22"/>
      <c r="F118" s="23">
        <v>342849</v>
      </c>
      <c r="G118" s="22"/>
      <c r="H118" s="30"/>
      <c r="I118" s="31"/>
      <c r="J118" s="31"/>
      <c r="K118" s="28"/>
      <c r="L118" s="28"/>
      <c r="M118" s="28"/>
      <c r="N118" s="28"/>
      <c r="O118" s="24">
        <f t="shared" si="32"/>
        <v>342849</v>
      </c>
      <c r="P118" s="408"/>
    </row>
    <row r="119" spans="1:16" ht="15">
      <c r="A119" s="88" t="s">
        <v>296</v>
      </c>
      <c r="B119" s="21" t="s">
        <v>134</v>
      </c>
      <c r="C119" s="23"/>
      <c r="D119" s="22"/>
      <c r="E119" s="22"/>
      <c r="F119" s="23">
        <v>229146</v>
      </c>
      <c r="G119" s="22"/>
      <c r="H119" s="30"/>
      <c r="I119" s="31"/>
      <c r="J119" s="31"/>
      <c r="K119" s="28"/>
      <c r="L119" s="28"/>
      <c r="M119" s="28"/>
      <c r="N119" s="28"/>
      <c r="O119" s="24">
        <f t="shared" si="32"/>
        <v>229146</v>
      </c>
      <c r="P119" s="408"/>
    </row>
    <row r="120" spans="1:16" ht="15.75" thickBot="1">
      <c r="A120" s="88" t="s">
        <v>297</v>
      </c>
      <c r="B120" s="21" t="s">
        <v>240</v>
      </c>
      <c r="C120" s="23">
        <v>996</v>
      </c>
      <c r="D120" s="22"/>
      <c r="E120" s="22"/>
      <c r="F120" s="23"/>
      <c r="G120" s="22"/>
      <c r="H120" s="26">
        <v>2078</v>
      </c>
      <c r="I120" s="31"/>
      <c r="J120" s="31"/>
      <c r="K120" s="28"/>
      <c r="L120" s="28">
        <v>2134</v>
      </c>
      <c r="M120" s="28">
        <f>19278+2049</f>
        <v>21327</v>
      </c>
      <c r="N120" s="28">
        <v>2304</v>
      </c>
      <c r="O120" s="24">
        <f t="shared" si="32"/>
        <v>28839</v>
      </c>
      <c r="P120" s="408"/>
    </row>
    <row r="121" spans="1:17" ht="15.75" thickBot="1">
      <c r="A121" s="94" t="s">
        <v>12</v>
      </c>
      <c r="B121" s="82" t="s">
        <v>86</v>
      </c>
      <c r="C121" s="84">
        <f aca="true" t="shared" si="35" ref="C121:N121">C122+C125+C137+C138</f>
        <v>1016399</v>
      </c>
      <c r="D121" s="84">
        <f t="shared" si="35"/>
        <v>0</v>
      </c>
      <c r="E121" s="84">
        <f t="shared" si="35"/>
        <v>1343572</v>
      </c>
      <c r="F121" s="84">
        <f t="shared" si="35"/>
        <v>0</v>
      </c>
      <c r="G121" s="84">
        <f t="shared" si="35"/>
        <v>0</v>
      </c>
      <c r="H121" s="84">
        <f t="shared" si="35"/>
        <v>212690</v>
      </c>
      <c r="I121" s="84">
        <f t="shared" si="35"/>
        <v>76280</v>
      </c>
      <c r="J121" s="84">
        <f t="shared" si="35"/>
        <v>87686</v>
      </c>
      <c r="K121" s="84">
        <f t="shared" si="35"/>
        <v>121848</v>
      </c>
      <c r="L121" s="84">
        <f t="shared" si="35"/>
        <v>27209</v>
      </c>
      <c r="M121" s="84">
        <f t="shared" si="35"/>
        <v>72240</v>
      </c>
      <c r="N121" s="84">
        <f t="shared" si="35"/>
        <v>65634</v>
      </c>
      <c r="O121" s="85">
        <f t="shared" si="32"/>
        <v>3023558</v>
      </c>
      <c r="P121" s="408"/>
      <c r="Q121" s="76"/>
    </row>
    <row r="122" spans="1:16" ht="15">
      <c r="A122" s="86" t="s">
        <v>87</v>
      </c>
      <c r="B122" s="16" t="s">
        <v>88</v>
      </c>
      <c r="C122" s="18">
        <f>SUM(C123:C124)</f>
        <v>207839</v>
      </c>
      <c r="D122" s="57"/>
      <c r="E122" s="57"/>
      <c r="F122" s="87"/>
      <c r="G122" s="57"/>
      <c r="H122" s="320">
        <f aca="true" t="shared" si="36" ref="H122:N122">SUM(H123:H124)</f>
        <v>6784</v>
      </c>
      <c r="I122" s="17">
        <f t="shared" si="36"/>
        <v>2326</v>
      </c>
      <c r="J122" s="17">
        <f t="shared" si="36"/>
        <v>0</v>
      </c>
      <c r="K122" s="18">
        <f t="shared" si="36"/>
        <v>4213</v>
      </c>
      <c r="L122" s="18">
        <f t="shared" si="36"/>
        <v>0</v>
      </c>
      <c r="M122" s="18">
        <f t="shared" si="36"/>
        <v>0</v>
      </c>
      <c r="N122" s="18">
        <f t="shared" si="36"/>
        <v>6047</v>
      </c>
      <c r="O122" s="321">
        <f t="shared" si="32"/>
        <v>227209</v>
      </c>
      <c r="P122" s="408"/>
    </row>
    <row r="123" spans="1:16" ht="15">
      <c r="A123" s="88" t="s">
        <v>299</v>
      </c>
      <c r="B123" s="21" t="s">
        <v>89</v>
      </c>
      <c r="C123" s="23">
        <v>49972</v>
      </c>
      <c r="D123" s="22"/>
      <c r="E123" s="22"/>
      <c r="F123" s="23"/>
      <c r="G123" s="22"/>
      <c r="H123" s="26">
        <v>6784</v>
      </c>
      <c r="I123" s="27">
        <v>2326</v>
      </c>
      <c r="J123" s="31"/>
      <c r="K123" s="28">
        <v>4213</v>
      </c>
      <c r="L123" s="28"/>
      <c r="M123" s="28"/>
      <c r="N123" s="28">
        <v>6047</v>
      </c>
      <c r="O123" s="24">
        <f t="shared" si="32"/>
        <v>69342</v>
      </c>
      <c r="P123" s="408"/>
    </row>
    <row r="124" spans="1:16" ht="29.25">
      <c r="A124" s="88" t="s">
        <v>300</v>
      </c>
      <c r="B124" s="21" t="s">
        <v>90</v>
      </c>
      <c r="C124" s="38">
        <v>157867</v>
      </c>
      <c r="D124" s="22"/>
      <c r="E124" s="22"/>
      <c r="F124" s="23"/>
      <c r="G124" s="22"/>
      <c r="H124" s="26"/>
      <c r="I124" s="31"/>
      <c r="J124" s="31"/>
      <c r="K124" s="28"/>
      <c r="L124" s="28"/>
      <c r="M124" s="28"/>
      <c r="N124" s="28"/>
      <c r="O124" s="24">
        <f t="shared" si="32"/>
        <v>157867</v>
      </c>
      <c r="P124" s="408"/>
    </row>
    <row r="125" spans="1:16" ht="15">
      <c r="A125" s="89" t="s">
        <v>91</v>
      </c>
      <c r="B125" s="90" t="s">
        <v>11</v>
      </c>
      <c r="C125" s="34">
        <f>SUM(C126:C132)</f>
        <v>675666</v>
      </c>
      <c r="D125" s="34">
        <f aca="true" t="shared" si="37" ref="D125:M125">SUM(D126:D132)</f>
        <v>0</v>
      </c>
      <c r="E125" s="34">
        <f t="shared" si="37"/>
        <v>1343572</v>
      </c>
      <c r="F125" s="34">
        <f t="shared" si="37"/>
        <v>0</v>
      </c>
      <c r="G125" s="34">
        <f t="shared" si="37"/>
        <v>0</v>
      </c>
      <c r="H125" s="34">
        <f t="shared" si="37"/>
        <v>205906</v>
      </c>
      <c r="I125" s="34">
        <f t="shared" si="37"/>
        <v>73954</v>
      </c>
      <c r="J125" s="34">
        <f>SUM(J126:J132)</f>
        <v>85227</v>
      </c>
      <c r="K125" s="34">
        <f t="shared" si="37"/>
        <v>115598</v>
      </c>
      <c r="L125" s="34">
        <f t="shared" si="37"/>
        <v>27209</v>
      </c>
      <c r="M125" s="34">
        <f t="shared" si="37"/>
        <v>72240</v>
      </c>
      <c r="N125" s="34">
        <f>SUM(N126:N132)</f>
        <v>59587</v>
      </c>
      <c r="O125" s="24">
        <f t="shared" si="32"/>
        <v>2658959</v>
      </c>
      <c r="P125" s="408"/>
    </row>
    <row r="126" spans="1:16" ht="15">
      <c r="A126" s="88" t="s">
        <v>92</v>
      </c>
      <c r="B126" s="21" t="s">
        <v>241</v>
      </c>
      <c r="C126" s="23">
        <v>339817</v>
      </c>
      <c r="D126" s="22"/>
      <c r="E126" s="22"/>
      <c r="F126" s="23"/>
      <c r="G126" s="22"/>
      <c r="H126" s="302">
        <v>28341</v>
      </c>
      <c r="I126" s="27">
        <v>19377</v>
      </c>
      <c r="J126" s="27">
        <v>25734</v>
      </c>
      <c r="K126" s="28">
        <v>24196</v>
      </c>
      <c r="L126" s="322">
        <v>14889</v>
      </c>
      <c r="M126" s="28">
        <f>12159+14987</f>
        <v>27146</v>
      </c>
      <c r="N126" s="323">
        <v>15192</v>
      </c>
      <c r="O126" s="24">
        <f t="shared" si="32"/>
        <v>494692</v>
      </c>
      <c r="P126" s="408"/>
    </row>
    <row r="127" spans="1:16" ht="15">
      <c r="A127" s="88" t="s">
        <v>93</v>
      </c>
      <c r="B127" s="21" t="s">
        <v>138</v>
      </c>
      <c r="C127" s="23"/>
      <c r="D127" s="22"/>
      <c r="E127" s="22"/>
      <c r="F127" s="23"/>
      <c r="G127" s="22"/>
      <c r="H127" s="30"/>
      <c r="I127" s="31"/>
      <c r="J127" s="27">
        <v>56647</v>
      </c>
      <c r="K127" s="28"/>
      <c r="L127" s="28"/>
      <c r="M127" s="28"/>
      <c r="N127" s="28">
        <v>2387</v>
      </c>
      <c r="O127" s="24">
        <f t="shared" si="32"/>
        <v>59034</v>
      </c>
      <c r="P127" s="408"/>
    </row>
    <row r="128" spans="1:16" ht="15">
      <c r="A128" s="88" t="s">
        <v>301</v>
      </c>
      <c r="B128" s="21" t="s">
        <v>143</v>
      </c>
      <c r="C128" s="38">
        <v>1592</v>
      </c>
      <c r="D128" s="22"/>
      <c r="E128" s="22"/>
      <c r="F128" s="23"/>
      <c r="G128" s="22"/>
      <c r="H128" s="30"/>
      <c r="I128" s="31"/>
      <c r="J128" s="27"/>
      <c r="K128" s="28"/>
      <c r="L128" s="28"/>
      <c r="M128" s="28"/>
      <c r="N128" s="28"/>
      <c r="O128" s="24">
        <f t="shared" si="32"/>
        <v>1592</v>
      </c>
      <c r="P128" s="408"/>
    </row>
    <row r="129" spans="1:16" ht="15">
      <c r="A129" s="88" t="s">
        <v>302</v>
      </c>
      <c r="B129" s="21" t="s">
        <v>370</v>
      </c>
      <c r="C129" s="38">
        <v>217994</v>
      </c>
      <c r="D129" s="22"/>
      <c r="E129" s="22"/>
      <c r="F129" s="23"/>
      <c r="G129" s="22"/>
      <c r="H129" s="30"/>
      <c r="I129" s="31"/>
      <c r="J129" s="27"/>
      <c r="K129" s="28"/>
      <c r="L129" s="28"/>
      <c r="M129" s="28"/>
      <c r="N129" s="28"/>
      <c r="O129" s="24">
        <f t="shared" si="32"/>
        <v>217994</v>
      </c>
      <c r="P129" s="408"/>
    </row>
    <row r="130" spans="1:16" ht="15">
      <c r="A130" s="88" t="s">
        <v>354</v>
      </c>
      <c r="B130" s="21" t="s">
        <v>303</v>
      </c>
      <c r="C130" s="23"/>
      <c r="D130" s="22"/>
      <c r="E130" s="36">
        <v>137994</v>
      </c>
      <c r="F130" s="23"/>
      <c r="G130" s="36"/>
      <c r="H130" s="302">
        <v>177565</v>
      </c>
      <c r="I130" s="27">
        <v>54577</v>
      </c>
      <c r="J130" s="27"/>
      <c r="K130" s="28">
        <v>91402</v>
      </c>
      <c r="L130" s="28">
        <v>12320</v>
      </c>
      <c r="M130" s="28">
        <f>16941+26023</f>
        <v>42964</v>
      </c>
      <c r="N130" s="323">
        <v>42008</v>
      </c>
      <c r="O130" s="24">
        <f t="shared" si="32"/>
        <v>558830</v>
      </c>
      <c r="P130" s="408"/>
    </row>
    <row r="131" spans="1:16" ht="29.25">
      <c r="A131" s="88" t="s">
        <v>354</v>
      </c>
      <c r="B131" s="21" t="s">
        <v>139</v>
      </c>
      <c r="C131" s="23"/>
      <c r="D131" s="22"/>
      <c r="E131" s="36">
        <v>1205578</v>
      </c>
      <c r="F131" s="23"/>
      <c r="G131" s="36"/>
      <c r="H131" s="30"/>
      <c r="I131" s="31"/>
      <c r="J131" s="31"/>
      <c r="K131" s="28"/>
      <c r="L131" s="28"/>
      <c r="M131" s="28"/>
      <c r="N131" s="28"/>
      <c r="O131" s="24">
        <f t="shared" si="32"/>
        <v>1205578</v>
      </c>
      <c r="P131" s="408"/>
    </row>
    <row r="132" spans="1:16" s="78" customFormat="1" ht="15">
      <c r="A132" s="89" t="s">
        <v>94</v>
      </c>
      <c r="B132" s="32" t="s">
        <v>304</v>
      </c>
      <c r="C132" s="361">
        <f aca="true" t="shared" si="38" ref="C132:N132">SUM(C133:C136)</f>
        <v>116263</v>
      </c>
      <c r="D132" s="361">
        <f t="shared" si="38"/>
        <v>0</v>
      </c>
      <c r="E132" s="361">
        <f t="shared" si="38"/>
        <v>0</v>
      </c>
      <c r="F132" s="361">
        <f t="shared" si="38"/>
        <v>0</v>
      </c>
      <c r="G132" s="361">
        <f t="shared" si="38"/>
        <v>0</v>
      </c>
      <c r="H132" s="361">
        <f t="shared" si="38"/>
        <v>0</v>
      </c>
      <c r="I132" s="361">
        <f t="shared" si="38"/>
        <v>0</v>
      </c>
      <c r="J132" s="361">
        <f t="shared" si="38"/>
        <v>2846</v>
      </c>
      <c r="K132" s="361">
        <f t="shared" si="38"/>
        <v>0</v>
      </c>
      <c r="L132" s="361">
        <f t="shared" si="38"/>
        <v>0</v>
      </c>
      <c r="M132" s="361">
        <f t="shared" si="38"/>
        <v>2130</v>
      </c>
      <c r="N132" s="361">
        <f t="shared" si="38"/>
        <v>0</v>
      </c>
      <c r="O132" s="24">
        <f t="shared" si="32"/>
        <v>121239</v>
      </c>
      <c r="P132" s="408"/>
    </row>
    <row r="133" spans="1:16" ht="15">
      <c r="A133" s="88" t="s">
        <v>305</v>
      </c>
      <c r="B133" s="99" t="s">
        <v>140</v>
      </c>
      <c r="C133" s="23">
        <v>87421</v>
      </c>
      <c r="D133" s="22"/>
      <c r="E133" s="22"/>
      <c r="F133" s="23"/>
      <c r="G133" s="22"/>
      <c r="H133" s="26"/>
      <c r="I133" s="31"/>
      <c r="J133" s="27"/>
      <c r="K133" s="28"/>
      <c r="L133" s="28"/>
      <c r="M133" s="28">
        <v>2130</v>
      </c>
      <c r="N133" s="28"/>
      <c r="O133" s="24">
        <f t="shared" si="32"/>
        <v>89551</v>
      </c>
      <c r="P133" s="408"/>
    </row>
    <row r="134" spans="1:16" ht="15">
      <c r="A134" s="88" t="s">
        <v>306</v>
      </c>
      <c r="B134" s="99" t="s">
        <v>141</v>
      </c>
      <c r="C134" s="23">
        <v>28415</v>
      </c>
      <c r="D134" s="22"/>
      <c r="E134" s="22"/>
      <c r="F134" s="23"/>
      <c r="G134" s="22"/>
      <c r="H134" s="30"/>
      <c r="I134" s="31"/>
      <c r="J134" s="31"/>
      <c r="K134" s="28"/>
      <c r="L134" s="28"/>
      <c r="M134" s="28"/>
      <c r="N134" s="28"/>
      <c r="O134" s="24">
        <f t="shared" si="32"/>
        <v>28415</v>
      </c>
      <c r="P134" s="408"/>
    </row>
    <row r="135" spans="1:16" ht="15">
      <c r="A135" s="88" t="s">
        <v>307</v>
      </c>
      <c r="B135" s="108" t="s">
        <v>142</v>
      </c>
      <c r="C135" s="23">
        <v>427</v>
      </c>
      <c r="D135" s="22"/>
      <c r="E135" s="22"/>
      <c r="F135" s="23"/>
      <c r="G135" s="22"/>
      <c r="H135" s="30"/>
      <c r="I135" s="31"/>
      <c r="J135" s="31"/>
      <c r="K135" s="28"/>
      <c r="L135" s="28"/>
      <c r="M135" s="28"/>
      <c r="N135" s="28"/>
      <c r="O135" s="24">
        <f t="shared" si="32"/>
        <v>427</v>
      </c>
      <c r="P135" s="408"/>
    </row>
    <row r="136" spans="1:16" ht="15">
      <c r="A136" s="88" t="s">
        <v>371</v>
      </c>
      <c r="B136" s="116" t="s">
        <v>401</v>
      </c>
      <c r="C136" s="23"/>
      <c r="D136" s="22"/>
      <c r="E136" s="22"/>
      <c r="F136" s="23"/>
      <c r="G136" s="22"/>
      <c r="H136" s="26"/>
      <c r="I136" s="31"/>
      <c r="J136" s="27">
        <v>2846</v>
      </c>
      <c r="K136" s="28"/>
      <c r="L136" s="28"/>
      <c r="M136" s="28"/>
      <c r="N136" s="28"/>
      <c r="O136" s="24">
        <f aca="true" t="shared" si="39" ref="O136:O175">SUM(C136:N136)</f>
        <v>2846</v>
      </c>
      <c r="P136" s="408"/>
    </row>
    <row r="137" spans="1:16" ht="15">
      <c r="A137" s="89" t="s">
        <v>308</v>
      </c>
      <c r="B137" s="32" t="s">
        <v>95</v>
      </c>
      <c r="C137" s="327">
        <v>44820</v>
      </c>
      <c r="D137" s="33"/>
      <c r="E137" s="33"/>
      <c r="F137" s="34"/>
      <c r="G137" s="33"/>
      <c r="H137" s="30"/>
      <c r="I137" s="31"/>
      <c r="J137" s="31"/>
      <c r="K137" s="28"/>
      <c r="L137" s="28"/>
      <c r="M137" s="28"/>
      <c r="N137" s="28"/>
      <c r="O137" s="24">
        <f t="shared" si="39"/>
        <v>44820</v>
      </c>
      <c r="P137" s="408"/>
    </row>
    <row r="138" spans="1:16" ht="30.75" thickBot="1">
      <c r="A138" s="89" t="s">
        <v>125</v>
      </c>
      <c r="B138" s="32" t="s">
        <v>126</v>
      </c>
      <c r="C138" s="34">
        <v>88074</v>
      </c>
      <c r="D138" s="33"/>
      <c r="E138" s="33"/>
      <c r="F138" s="34"/>
      <c r="G138" s="33"/>
      <c r="H138" s="30"/>
      <c r="I138" s="31"/>
      <c r="J138" s="27">
        <v>2459</v>
      </c>
      <c r="K138" s="28">
        <v>2037</v>
      </c>
      <c r="L138" s="28"/>
      <c r="M138" s="28"/>
      <c r="N138" s="28"/>
      <c r="O138" s="24">
        <f t="shared" si="39"/>
        <v>92570</v>
      </c>
      <c r="P138" s="408"/>
    </row>
    <row r="139" spans="1:17" ht="15.75" thickBot="1">
      <c r="A139" s="118" t="s">
        <v>96</v>
      </c>
      <c r="B139" s="101" t="s">
        <v>9</v>
      </c>
      <c r="C139" s="83">
        <f aca="true" t="shared" si="40" ref="C139:N139">C140+C151+C152+C162+C169+C170+C171+C172</f>
        <v>10596617</v>
      </c>
      <c r="D139" s="83">
        <f t="shared" si="40"/>
        <v>0</v>
      </c>
      <c r="E139" s="83">
        <f t="shared" si="40"/>
        <v>0</v>
      </c>
      <c r="F139" s="83">
        <f t="shared" si="40"/>
        <v>0</v>
      </c>
      <c r="G139" s="83">
        <f t="shared" si="40"/>
        <v>0</v>
      </c>
      <c r="H139" s="83">
        <f t="shared" si="40"/>
        <v>1141408</v>
      </c>
      <c r="I139" s="83">
        <f t="shared" si="40"/>
        <v>0</v>
      </c>
      <c r="J139" s="83">
        <f t="shared" si="40"/>
        <v>342286</v>
      </c>
      <c r="K139" s="83">
        <f t="shared" si="40"/>
        <v>985269</v>
      </c>
      <c r="L139" s="83">
        <f t="shared" si="40"/>
        <v>19935</v>
      </c>
      <c r="M139" s="83">
        <f t="shared" si="40"/>
        <v>464062</v>
      </c>
      <c r="N139" s="83">
        <f t="shared" si="40"/>
        <v>19912</v>
      </c>
      <c r="O139" s="85">
        <f t="shared" si="39"/>
        <v>13569489</v>
      </c>
      <c r="P139" s="408"/>
      <c r="Q139" s="76"/>
    </row>
    <row r="140" spans="1:17" ht="15">
      <c r="A140" s="86" t="s">
        <v>97</v>
      </c>
      <c r="B140" s="16" t="s">
        <v>358</v>
      </c>
      <c r="C140" s="18">
        <f>SUM(C141:C150)</f>
        <v>3521339</v>
      </c>
      <c r="D140" s="18">
        <f>SUM(D141:D150)</f>
        <v>0</v>
      </c>
      <c r="E140" s="18">
        <f>SUM(E141:E150)</f>
        <v>0</v>
      </c>
      <c r="F140" s="18">
        <f>SUM(F141:F150)</f>
        <v>0</v>
      </c>
      <c r="G140" s="17"/>
      <c r="H140" s="320">
        <f aca="true" t="shared" si="41" ref="H140:N140">SUM(H141:H150)</f>
        <v>0</v>
      </c>
      <c r="I140" s="17">
        <f t="shared" si="41"/>
        <v>0</v>
      </c>
      <c r="J140" s="17">
        <f t="shared" si="41"/>
        <v>119037</v>
      </c>
      <c r="K140" s="18">
        <f t="shared" si="41"/>
        <v>257363</v>
      </c>
      <c r="L140" s="18">
        <f t="shared" si="41"/>
        <v>0</v>
      </c>
      <c r="M140" s="18">
        <f t="shared" si="41"/>
        <v>0</v>
      </c>
      <c r="N140" s="18">
        <f t="shared" si="41"/>
        <v>0</v>
      </c>
      <c r="O140" s="321">
        <f t="shared" si="39"/>
        <v>3897739</v>
      </c>
      <c r="P140" s="408"/>
      <c r="Q140" s="76"/>
    </row>
    <row r="141" spans="1:16" ht="15">
      <c r="A141" s="88" t="s">
        <v>309</v>
      </c>
      <c r="B141" s="119" t="s">
        <v>98</v>
      </c>
      <c r="C141" s="22">
        <v>264560</v>
      </c>
      <c r="D141" s="22"/>
      <c r="E141" s="22"/>
      <c r="F141" s="23"/>
      <c r="G141" s="22"/>
      <c r="H141" s="30"/>
      <c r="I141" s="31"/>
      <c r="J141" s="31"/>
      <c r="K141" s="28"/>
      <c r="L141" s="28"/>
      <c r="M141" s="28"/>
      <c r="N141" s="28"/>
      <c r="O141" s="24">
        <f t="shared" si="39"/>
        <v>264560</v>
      </c>
      <c r="P141" s="408"/>
    </row>
    <row r="142" spans="1:16" ht="15">
      <c r="A142" s="88" t="s">
        <v>310</v>
      </c>
      <c r="B142" s="119" t="s">
        <v>99</v>
      </c>
      <c r="C142" s="23">
        <v>471389</v>
      </c>
      <c r="D142" s="22"/>
      <c r="E142" s="22"/>
      <c r="F142" s="23"/>
      <c r="G142" s="22"/>
      <c r="H142" s="30"/>
      <c r="I142" s="31"/>
      <c r="J142" s="31"/>
      <c r="K142" s="28"/>
      <c r="L142" s="28"/>
      <c r="M142" s="28"/>
      <c r="N142" s="28"/>
      <c r="O142" s="24">
        <f t="shared" si="39"/>
        <v>471389</v>
      </c>
      <c r="P142" s="408"/>
    </row>
    <row r="143" spans="1:16" ht="15">
      <c r="A143" s="88" t="s">
        <v>311</v>
      </c>
      <c r="B143" s="119" t="s">
        <v>100</v>
      </c>
      <c r="C143" s="23">
        <v>498483</v>
      </c>
      <c r="D143" s="22"/>
      <c r="E143" s="22"/>
      <c r="F143" s="23"/>
      <c r="G143" s="22"/>
      <c r="H143" s="30"/>
      <c r="I143" s="31"/>
      <c r="J143" s="31"/>
      <c r="K143" s="28"/>
      <c r="L143" s="28"/>
      <c r="M143" s="28"/>
      <c r="N143" s="28"/>
      <c r="O143" s="24">
        <f t="shared" si="39"/>
        <v>498483</v>
      </c>
      <c r="P143" s="408"/>
    </row>
    <row r="144" spans="1:16" ht="15">
      <c r="A144" s="88" t="s">
        <v>312</v>
      </c>
      <c r="B144" s="119" t="s">
        <v>101</v>
      </c>
      <c r="C144" s="23">
        <v>536063</v>
      </c>
      <c r="D144" s="22"/>
      <c r="E144" s="22"/>
      <c r="F144" s="23"/>
      <c r="G144" s="22"/>
      <c r="H144" s="30"/>
      <c r="I144" s="31"/>
      <c r="J144" s="31"/>
      <c r="K144" s="28"/>
      <c r="L144" s="28"/>
      <c r="M144" s="28"/>
      <c r="N144" s="28"/>
      <c r="O144" s="24">
        <f t="shared" si="39"/>
        <v>536063</v>
      </c>
      <c r="P144" s="408"/>
    </row>
    <row r="145" spans="1:16" ht="15">
      <c r="A145" s="88" t="s">
        <v>313</v>
      </c>
      <c r="B145" s="119" t="s">
        <v>102</v>
      </c>
      <c r="C145" s="23">
        <v>605090</v>
      </c>
      <c r="D145" s="22"/>
      <c r="E145" s="22"/>
      <c r="F145" s="23"/>
      <c r="G145" s="22"/>
      <c r="H145" s="30"/>
      <c r="I145" s="31"/>
      <c r="J145" s="27">
        <v>119037</v>
      </c>
      <c r="K145" s="28"/>
      <c r="L145" s="28"/>
      <c r="M145" s="28"/>
      <c r="N145" s="28"/>
      <c r="O145" s="24">
        <f t="shared" si="39"/>
        <v>724127</v>
      </c>
      <c r="P145" s="408"/>
    </row>
    <row r="146" spans="1:16" ht="15">
      <c r="A146" s="88" t="s">
        <v>314</v>
      </c>
      <c r="B146" s="119" t="s">
        <v>103</v>
      </c>
      <c r="C146" s="23">
        <v>309420</v>
      </c>
      <c r="D146" s="22"/>
      <c r="E146" s="22"/>
      <c r="F146" s="23"/>
      <c r="G146" s="22"/>
      <c r="H146" s="30"/>
      <c r="I146" s="31"/>
      <c r="J146" s="31"/>
      <c r="K146" s="28"/>
      <c r="L146" s="28"/>
      <c r="M146" s="28"/>
      <c r="N146" s="28"/>
      <c r="O146" s="24">
        <f t="shared" si="39"/>
        <v>309420</v>
      </c>
      <c r="P146" s="408"/>
    </row>
    <row r="147" spans="1:16" ht="15">
      <c r="A147" s="88" t="s">
        <v>315</v>
      </c>
      <c r="B147" s="119" t="s">
        <v>147</v>
      </c>
      <c r="C147" s="23">
        <v>468712</v>
      </c>
      <c r="D147" s="22"/>
      <c r="E147" s="22"/>
      <c r="F147" s="23"/>
      <c r="G147" s="22"/>
      <c r="H147" s="30"/>
      <c r="I147" s="31"/>
      <c r="J147" s="31"/>
      <c r="K147" s="28"/>
      <c r="L147" s="28"/>
      <c r="M147" s="28"/>
      <c r="N147" s="28"/>
      <c r="O147" s="24">
        <f t="shared" si="39"/>
        <v>468712</v>
      </c>
      <c r="P147" s="408"/>
    </row>
    <row r="148" spans="1:16" ht="15">
      <c r="A148" s="88" t="s">
        <v>316</v>
      </c>
      <c r="B148" s="119" t="s">
        <v>242</v>
      </c>
      <c r="C148" s="23">
        <v>338822</v>
      </c>
      <c r="D148" s="23"/>
      <c r="E148" s="23"/>
      <c r="F148" s="23"/>
      <c r="G148" s="22"/>
      <c r="H148" s="120"/>
      <c r="I148" s="31"/>
      <c r="J148" s="27"/>
      <c r="K148" s="29"/>
      <c r="L148" s="29"/>
      <c r="M148" s="29"/>
      <c r="N148" s="29"/>
      <c r="O148" s="24">
        <f t="shared" si="39"/>
        <v>338822</v>
      </c>
      <c r="P148" s="408"/>
    </row>
    <row r="149" spans="1:16" ht="15">
      <c r="A149" s="88" t="s">
        <v>317</v>
      </c>
      <c r="B149" s="119" t="s">
        <v>181</v>
      </c>
      <c r="C149" s="23"/>
      <c r="D149" s="23"/>
      <c r="E149" s="23"/>
      <c r="F149" s="23"/>
      <c r="G149" s="22"/>
      <c r="H149" s="120"/>
      <c r="I149" s="31"/>
      <c r="J149" s="31"/>
      <c r="K149" s="28">
        <v>257363</v>
      </c>
      <c r="L149" s="29"/>
      <c r="M149" s="29"/>
      <c r="N149" s="29"/>
      <c r="O149" s="24">
        <f t="shared" si="39"/>
        <v>257363</v>
      </c>
      <c r="P149" s="408"/>
    </row>
    <row r="150" spans="1:16" ht="29.25">
      <c r="A150" s="88" t="s">
        <v>318</v>
      </c>
      <c r="B150" s="119" t="s">
        <v>473</v>
      </c>
      <c r="C150" s="23">
        <v>28800</v>
      </c>
      <c r="D150" s="23"/>
      <c r="E150" s="23"/>
      <c r="F150" s="23"/>
      <c r="G150" s="22"/>
      <c r="H150" s="120"/>
      <c r="I150" s="31"/>
      <c r="J150" s="31"/>
      <c r="K150" s="29"/>
      <c r="L150" s="29"/>
      <c r="M150" s="29"/>
      <c r="N150" s="29"/>
      <c r="O150" s="24">
        <f t="shared" si="39"/>
        <v>28800</v>
      </c>
      <c r="P150" s="408"/>
    </row>
    <row r="151" spans="1:17" ht="15">
      <c r="A151" s="89" t="s">
        <v>104</v>
      </c>
      <c r="B151" s="364" t="s">
        <v>319</v>
      </c>
      <c r="C151" s="23">
        <v>676840</v>
      </c>
      <c r="D151" s="23"/>
      <c r="E151" s="23"/>
      <c r="F151" s="23"/>
      <c r="G151" s="22"/>
      <c r="H151" s="362"/>
      <c r="I151" s="363"/>
      <c r="J151" s="363"/>
      <c r="K151" s="29"/>
      <c r="L151" s="29"/>
      <c r="M151" s="29"/>
      <c r="N151" s="29"/>
      <c r="O151" s="24">
        <f t="shared" si="39"/>
        <v>676840</v>
      </c>
      <c r="P151" s="408"/>
      <c r="Q151" s="76"/>
    </row>
    <row r="152" spans="1:17" ht="30">
      <c r="A152" s="89" t="s">
        <v>184</v>
      </c>
      <c r="B152" s="32" t="s">
        <v>320</v>
      </c>
      <c r="C152" s="34">
        <f aca="true" t="shared" si="42" ref="C152:N152">SUM(C153:C161)</f>
        <v>3802329</v>
      </c>
      <c r="D152" s="34">
        <f t="shared" si="42"/>
        <v>0</v>
      </c>
      <c r="E152" s="34">
        <f t="shared" si="42"/>
        <v>0</v>
      </c>
      <c r="F152" s="34">
        <f t="shared" si="42"/>
        <v>0</v>
      </c>
      <c r="G152" s="33">
        <f t="shared" si="42"/>
        <v>0</v>
      </c>
      <c r="H152" s="41">
        <f t="shared" si="42"/>
        <v>1126017</v>
      </c>
      <c r="I152" s="34">
        <f t="shared" si="42"/>
        <v>0</v>
      </c>
      <c r="J152" s="34">
        <f t="shared" si="42"/>
        <v>207401</v>
      </c>
      <c r="K152" s="34">
        <f t="shared" si="42"/>
        <v>501312</v>
      </c>
      <c r="L152" s="34">
        <f t="shared" si="42"/>
        <v>0</v>
      </c>
      <c r="M152" s="34">
        <f t="shared" si="42"/>
        <v>433632</v>
      </c>
      <c r="N152" s="34">
        <f t="shared" si="42"/>
        <v>8116</v>
      </c>
      <c r="O152" s="24">
        <f t="shared" si="39"/>
        <v>6078807</v>
      </c>
      <c r="P152" s="408"/>
      <c r="Q152" s="76"/>
    </row>
    <row r="153" spans="1:16" ht="15">
      <c r="A153" s="88" t="s">
        <v>321</v>
      </c>
      <c r="B153" s="119" t="s">
        <v>105</v>
      </c>
      <c r="C153" s="23">
        <v>1734838</v>
      </c>
      <c r="D153" s="22"/>
      <c r="E153" s="22"/>
      <c r="F153" s="23"/>
      <c r="G153" s="22"/>
      <c r="H153" s="30"/>
      <c r="I153" s="31"/>
      <c r="J153" s="31"/>
      <c r="K153" s="28"/>
      <c r="L153" s="28"/>
      <c r="M153" s="28"/>
      <c r="N153" s="28"/>
      <c r="O153" s="24">
        <f t="shared" si="39"/>
        <v>1734838</v>
      </c>
      <c r="P153" s="408"/>
    </row>
    <row r="154" spans="1:16" ht="15">
      <c r="A154" s="88" t="s">
        <v>322</v>
      </c>
      <c r="B154" s="119" t="s">
        <v>106</v>
      </c>
      <c r="C154" s="23">
        <v>885572</v>
      </c>
      <c r="D154" s="22"/>
      <c r="E154" s="22"/>
      <c r="F154" s="23"/>
      <c r="G154" s="22"/>
      <c r="H154" s="30"/>
      <c r="I154" s="31"/>
      <c r="J154" s="31"/>
      <c r="K154" s="28"/>
      <c r="L154" s="28"/>
      <c r="M154" s="28"/>
      <c r="N154" s="28"/>
      <c r="O154" s="24">
        <f t="shared" si="39"/>
        <v>885572</v>
      </c>
      <c r="P154" s="408"/>
    </row>
    <row r="155" spans="1:16" ht="15">
      <c r="A155" s="88" t="s">
        <v>323</v>
      </c>
      <c r="B155" s="119" t="s">
        <v>107</v>
      </c>
      <c r="C155" s="23">
        <v>856340</v>
      </c>
      <c r="D155" s="22"/>
      <c r="E155" s="22"/>
      <c r="F155" s="23"/>
      <c r="G155" s="22"/>
      <c r="H155" s="30"/>
      <c r="I155" s="31"/>
      <c r="J155" s="31"/>
      <c r="K155" s="28"/>
      <c r="L155" s="28"/>
      <c r="M155" s="28"/>
      <c r="N155" s="28"/>
      <c r="O155" s="24">
        <f t="shared" si="39"/>
        <v>856340</v>
      </c>
      <c r="P155" s="408"/>
    </row>
    <row r="156" spans="1:16" ht="15">
      <c r="A156" s="88" t="s">
        <v>324</v>
      </c>
      <c r="B156" s="21" t="s">
        <v>108</v>
      </c>
      <c r="C156" s="23">
        <v>325579</v>
      </c>
      <c r="D156" s="22"/>
      <c r="E156" s="22"/>
      <c r="F156" s="23"/>
      <c r="G156" s="22"/>
      <c r="H156" s="30"/>
      <c r="I156" s="31"/>
      <c r="J156" s="31"/>
      <c r="K156" s="28"/>
      <c r="L156" s="28"/>
      <c r="M156" s="28"/>
      <c r="N156" s="28"/>
      <c r="O156" s="24">
        <f t="shared" si="39"/>
        <v>325579</v>
      </c>
      <c r="P156" s="408"/>
    </row>
    <row r="157" spans="1:16" ht="15">
      <c r="A157" s="88" t="s">
        <v>325</v>
      </c>
      <c r="B157" s="21" t="s">
        <v>182</v>
      </c>
      <c r="C157" s="23"/>
      <c r="D157" s="22"/>
      <c r="E157" s="22"/>
      <c r="F157" s="23"/>
      <c r="G157" s="22"/>
      <c r="H157" s="120"/>
      <c r="I157" s="31"/>
      <c r="J157" s="27">
        <v>207401</v>
      </c>
      <c r="K157" s="29"/>
      <c r="L157" s="29"/>
      <c r="M157" s="29"/>
      <c r="N157" s="29"/>
      <c r="O157" s="24">
        <f t="shared" si="39"/>
        <v>207401</v>
      </c>
      <c r="P157" s="408"/>
    </row>
    <row r="158" spans="1:16" ht="15">
      <c r="A158" s="88" t="s">
        <v>326</v>
      </c>
      <c r="B158" s="21" t="s">
        <v>183</v>
      </c>
      <c r="C158" s="23"/>
      <c r="D158" s="22"/>
      <c r="E158" s="22"/>
      <c r="F158" s="23"/>
      <c r="G158" s="22"/>
      <c r="H158" s="120"/>
      <c r="I158" s="31"/>
      <c r="J158" s="27"/>
      <c r="K158" s="28">
        <f>408735+92577</f>
        <v>501312</v>
      </c>
      <c r="L158" s="29">
        <f>92577-92577</f>
        <v>0</v>
      </c>
      <c r="M158" s="29"/>
      <c r="N158" s="29"/>
      <c r="O158" s="24">
        <f t="shared" si="39"/>
        <v>501312</v>
      </c>
      <c r="P158" s="408"/>
    </row>
    <row r="159" spans="1:16" ht="15">
      <c r="A159" s="88" t="s">
        <v>327</v>
      </c>
      <c r="B159" s="21" t="s">
        <v>415</v>
      </c>
      <c r="C159" s="23"/>
      <c r="D159" s="22"/>
      <c r="E159" s="22"/>
      <c r="F159" s="23"/>
      <c r="G159" s="22"/>
      <c r="H159" s="120"/>
      <c r="I159" s="31"/>
      <c r="J159" s="27"/>
      <c r="K159" s="29"/>
      <c r="L159" s="29"/>
      <c r="M159" s="29">
        <f>84665+308365+40602</f>
        <v>433632</v>
      </c>
      <c r="N159" s="29">
        <f>47005-40602+1713</f>
        <v>8116</v>
      </c>
      <c r="O159" s="24">
        <f t="shared" si="39"/>
        <v>441748</v>
      </c>
      <c r="P159" s="408"/>
    </row>
    <row r="160" spans="1:16" ht="15">
      <c r="A160" s="88" t="s">
        <v>328</v>
      </c>
      <c r="B160" s="21" t="s">
        <v>185</v>
      </c>
      <c r="C160" s="23"/>
      <c r="D160" s="22"/>
      <c r="E160" s="22"/>
      <c r="F160" s="23"/>
      <c r="G160" s="22"/>
      <c r="H160" s="302">
        <f>755277+76000</f>
        <v>831277</v>
      </c>
      <c r="I160" s="31"/>
      <c r="J160" s="27"/>
      <c r="K160" s="29"/>
      <c r="L160" s="29"/>
      <c r="M160" s="29"/>
      <c r="N160" s="29"/>
      <c r="O160" s="24">
        <f t="shared" si="39"/>
        <v>831277</v>
      </c>
      <c r="P160" s="408"/>
    </row>
    <row r="161" spans="1:16" ht="15">
      <c r="A161" s="88" t="s">
        <v>329</v>
      </c>
      <c r="B161" s="21" t="s">
        <v>186</v>
      </c>
      <c r="C161" s="23"/>
      <c r="D161" s="23"/>
      <c r="E161" s="23"/>
      <c r="F161" s="23"/>
      <c r="G161" s="22"/>
      <c r="H161" s="302">
        <v>294740</v>
      </c>
      <c r="I161" s="27"/>
      <c r="J161" s="27"/>
      <c r="K161" s="29"/>
      <c r="L161" s="29"/>
      <c r="M161" s="29"/>
      <c r="N161" s="29"/>
      <c r="O161" s="24">
        <f t="shared" si="39"/>
        <v>294740</v>
      </c>
      <c r="P161" s="408"/>
    </row>
    <row r="162" spans="1:17" ht="30">
      <c r="A162" s="89" t="s">
        <v>109</v>
      </c>
      <c r="B162" s="32" t="s">
        <v>110</v>
      </c>
      <c r="C162" s="34">
        <f aca="true" t="shared" si="43" ref="C162:N162">SUM(C163:C168)</f>
        <v>2024427</v>
      </c>
      <c r="D162" s="34">
        <f t="shared" si="43"/>
        <v>0</v>
      </c>
      <c r="E162" s="34">
        <f t="shared" si="43"/>
        <v>0</v>
      </c>
      <c r="F162" s="34">
        <f t="shared" si="43"/>
        <v>0</v>
      </c>
      <c r="G162" s="33">
        <f t="shared" si="43"/>
        <v>0</v>
      </c>
      <c r="H162" s="41">
        <f t="shared" si="43"/>
        <v>0</v>
      </c>
      <c r="I162" s="34">
        <f t="shared" si="43"/>
        <v>0</v>
      </c>
      <c r="J162" s="34">
        <f t="shared" si="43"/>
        <v>0</v>
      </c>
      <c r="K162" s="34">
        <f t="shared" si="43"/>
        <v>132162</v>
      </c>
      <c r="L162" s="34">
        <f t="shared" si="43"/>
        <v>0</v>
      </c>
      <c r="M162" s="34">
        <f t="shared" si="43"/>
        <v>0</v>
      </c>
      <c r="N162" s="34">
        <f t="shared" si="43"/>
        <v>0</v>
      </c>
      <c r="O162" s="24">
        <f t="shared" si="39"/>
        <v>2156589</v>
      </c>
      <c r="P162" s="408"/>
      <c r="Q162" s="76"/>
    </row>
    <row r="163" spans="1:16" ht="15">
      <c r="A163" s="88" t="s">
        <v>330</v>
      </c>
      <c r="B163" s="21" t="s">
        <v>111</v>
      </c>
      <c r="C163" s="23">
        <v>501887</v>
      </c>
      <c r="D163" s="22"/>
      <c r="E163" s="22"/>
      <c r="F163" s="23"/>
      <c r="G163" s="22"/>
      <c r="H163" s="30"/>
      <c r="I163" s="31"/>
      <c r="J163" s="31"/>
      <c r="K163" s="28"/>
      <c r="L163" s="28"/>
      <c r="M163" s="28"/>
      <c r="N163" s="28"/>
      <c r="O163" s="24">
        <f t="shared" si="39"/>
        <v>501887</v>
      </c>
      <c r="P163" s="408"/>
    </row>
    <row r="164" spans="1:16" ht="15">
      <c r="A164" s="88" t="s">
        <v>331</v>
      </c>
      <c r="B164" s="21" t="s">
        <v>151</v>
      </c>
      <c r="C164" s="23">
        <v>219928</v>
      </c>
      <c r="D164" s="22"/>
      <c r="E164" s="22"/>
      <c r="F164" s="23"/>
      <c r="G164" s="22"/>
      <c r="H164" s="30"/>
      <c r="I164" s="31"/>
      <c r="J164" s="31"/>
      <c r="K164" s="28"/>
      <c r="L164" s="28"/>
      <c r="M164" s="28"/>
      <c r="N164" s="28"/>
      <c r="O164" s="24">
        <f t="shared" si="39"/>
        <v>219928</v>
      </c>
      <c r="P164" s="408"/>
    </row>
    <row r="165" spans="1:16" ht="15">
      <c r="A165" s="88" t="s">
        <v>332</v>
      </c>
      <c r="B165" s="21" t="s">
        <v>112</v>
      </c>
      <c r="C165" s="23">
        <v>773029</v>
      </c>
      <c r="D165" s="22"/>
      <c r="E165" s="22"/>
      <c r="F165" s="23"/>
      <c r="G165" s="22"/>
      <c r="H165" s="30"/>
      <c r="I165" s="31"/>
      <c r="J165" s="31"/>
      <c r="K165" s="28"/>
      <c r="L165" s="28"/>
      <c r="M165" s="28"/>
      <c r="N165" s="28"/>
      <c r="O165" s="24">
        <f t="shared" si="39"/>
        <v>773029</v>
      </c>
      <c r="P165" s="408"/>
    </row>
    <row r="166" spans="1:16" ht="15">
      <c r="A166" s="88" t="s">
        <v>333</v>
      </c>
      <c r="B166" s="21" t="s">
        <v>113</v>
      </c>
      <c r="C166" s="23">
        <v>407690</v>
      </c>
      <c r="D166" s="22"/>
      <c r="E166" s="22"/>
      <c r="F166" s="23"/>
      <c r="G166" s="22"/>
      <c r="H166" s="26"/>
      <c r="I166" s="31"/>
      <c r="J166" s="31"/>
      <c r="K166" s="28"/>
      <c r="L166" s="28"/>
      <c r="M166" s="28"/>
      <c r="N166" s="28"/>
      <c r="O166" s="24">
        <f t="shared" si="39"/>
        <v>407690</v>
      </c>
      <c r="P166" s="408"/>
    </row>
    <row r="167" spans="1:16" ht="15">
      <c r="A167" s="88" t="s">
        <v>334</v>
      </c>
      <c r="B167" s="21" t="s">
        <v>114</v>
      </c>
      <c r="C167" s="22">
        <v>121893</v>
      </c>
      <c r="D167" s="22"/>
      <c r="E167" s="22"/>
      <c r="F167" s="22"/>
      <c r="G167" s="22"/>
      <c r="H167" s="30"/>
      <c r="I167" s="31"/>
      <c r="J167" s="31"/>
      <c r="K167" s="28"/>
      <c r="L167" s="28"/>
      <c r="M167" s="28"/>
      <c r="N167" s="28"/>
      <c r="O167" s="24">
        <f t="shared" si="39"/>
        <v>121893</v>
      </c>
      <c r="P167" s="408"/>
    </row>
    <row r="168" spans="1:16" ht="15">
      <c r="A168" s="88" t="s">
        <v>335</v>
      </c>
      <c r="B168" s="21" t="s">
        <v>187</v>
      </c>
      <c r="C168" s="22"/>
      <c r="D168" s="22"/>
      <c r="E168" s="22"/>
      <c r="F168" s="22"/>
      <c r="G168" s="22"/>
      <c r="H168" s="30"/>
      <c r="I168" s="31"/>
      <c r="J168" s="31"/>
      <c r="K168" s="28">
        <v>132162</v>
      </c>
      <c r="L168" s="28"/>
      <c r="M168" s="28"/>
      <c r="N168" s="28"/>
      <c r="O168" s="24">
        <f t="shared" si="39"/>
        <v>132162</v>
      </c>
      <c r="P168" s="408"/>
    </row>
    <row r="169" spans="1:16" s="78" customFormat="1" ht="30">
      <c r="A169" s="89" t="s">
        <v>243</v>
      </c>
      <c r="B169" s="90" t="s">
        <v>244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24">
        <f t="shared" si="39"/>
        <v>0</v>
      </c>
      <c r="P169" s="408"/>
    </row>
    <row r="170" spans="1:16" ht="15">
      <c r="A170" s="96" t="s">
        <v>188</v>
      </c>
      <c r="B170" s="32" t="s">
        <v>189</v>
      </c>
      <c r="C170" s="22">
        <v>157227</v>
      </c>
      <c r="D170" s="22"/>
      <c r="E170" s="22"/>
      <c r="F170" s="22"/>
      <c r="G170" s="22"/>
      <c r="H170" s="30"/>
      <c r="I170" s="31"/>
      <c r="J170" s="31"/>
      <c r="K170" s="121">
        <v>84614</v>
      </c>
      <c r="L170" s="28"/>
      <c r="M170" s="28"/>
      <c r="N170" s="28"/>
      <c r="O170" s="24">
        <f t="shared" si="39"/>
        <v>241841</v>
      </c>
      <c r="P170" s="408"/>
    </row>
    <row r="171" spans="1:16" ht="30">
      <c r="A171" s="89" t="s">
        <v>245</v>
      </c>
      <c r="B171" s="32" t="s">
        <v>355</v>
      </c>
      <c r="C171" s="34">
        <v>235919</v>
      </c>
      <c r="D171" s="34"/>
      <c r="E171" s="34"/>
      <c r="F171" s="34"/>
      <c r="G171" s="33"/>
      <c r="H171" s="328"/>
      <c r="I171" s="329"/>
      <c r="J171" s="329"/>
      <c r="K171" s="330"/>
      <c r="L171" s="330"/>
      <c r="M171" s="330"/>
      <c r="N171" s="330"/>
      <c r="O171" s="24">
        <f t="shared" si="39"/>
        <v>235919</v>
      </c>
      <c r="P171" s="408"/>
    </row>
    <row r="172" spans="1:16" ht="30.75" customHeight="1" thickBot="1">
      <c r="A172" s="122" t="s">
        <v>115</v>
      </c>
      <c r="B172" s="123" t="s">
        <v>336</v>
      </c>
      <c r="C172" s="125">
        <f>SUM(C173:C182)</f>
        <v>178536</v>
      </c>
      <c r="D172" s="125">
        <f>SUM(D173:D182)</f>
        <v>0</v>
      </c>
      <c r="E172" s="125">
        <f>SUM(E173:E182)</f>
        <v>0</v>
      </c>
      <c r="F172" s="125">
        <f>SUM(F173:F182)</f>
        <v>0</v>
      </c>
      <c r="G172" s="124"/>
      <c r="H172" s="331">
        <f aca="true" t="shared" si="44" ref="H172:N172">SUM(H173:H182)</f>
        <v>15391</v>
      </c>
      <c r="I172" s="124">
        <f t="shared" si="44"/>
        <v>0</v>
      </c>
      <c r="J172" s="124">
        <f t="shared" si="44"/>
        <v>15848</v>
      </c>
      <c r="K172" s="125">
        <f t="shared" si="44"/>
        <v>9818</v>
      </c>
      <c r="L172" s="125">
        <f t="shared" si="44"/>
        <v>19935</v>
      </c>
      <c r="M172" s="125">
        <f t="shared" si="44"/>
        <v>30430</v>
      </c>
      <c r="N172" s="125">
        <f t="shared" si="44"/>
        <v>11796</v>
      </c>
      <c r="O172" s="24">
        <f t="shared" si="39"/>
        <v>281754</v>
      </c>
      <c r="P172" s="408"/>
    </row>
    <row r="173" spans="1:16" ht="29.25">
      <c r="A173" s="353" t="s">
        <v>337</v>
      </c>
      <c r="B173" s="115" t="s">
        <v>408</v>
      </c>
      <c r="C173" s="87">
        <v>36862</v>
      </c>
      <c r="D173" s="57"/>
      <c r="E173" s="57"/>
      <c r="F173" s="87"/>
      <c r="G173" s="57"/>
      <c r="H173" s="127"/>
      <c r="I173" s="59"/>
      <c r="J173" s="59"/>
      <c r="K173" s="60"/>
      <c r="L173" s="60"/>
      <c r="M173" s="60"/>
      <c r="N173" s="60"/>
      <c r="O173" s="113">
        <f t="shared" si="39"/>
        <v>36862</v>
      </c>
      <c r="P173" s="408"/>
    </row>
    <row r="174" spans="1:16" ht="29.25">
      <c r="A174" s="353" t="s">
        <v>338</v>
      </c>
      <c r="B174" s="21" t="s">
        <v>190</v>
      </c>
      <c r="C174" s="38">
        <v>71144</v>
      </c>
      <c r="D174" s="22"/>
      <c r="E174" s="22"/>
      <c r="F174" s="23"/>
      <c r="G174" s="22"/>
      <c r="H174" s="30"/>
      <c r="I174" s="31"/>
      <c r="J174" s="31"/>
      <c r="K174" s="28"/>
      <c r="L174" s="28"/>
      <c r="M174" s="28"/>
      <c r="N174" s="28"/>
      <c r="O174" s="24">
        <f t="shared" si="39"/>
        <v>71144</v>
      </c>
      <c r="P174" s="408"/>
    </row>
    <row r="175" spans="1:16" ht="15">
      <c r="A175" s="353" t="s">
        <v>339</v>
      </c>
      <c r="B175" s="21" t="s">
        <v>145</v>
      </c>
      <c r="C175" s="23"/>
      <c r="D175" s="22"/>
      <c r="E175" s="22"/>
      <c r="F175" s="23"/>
      <c r="G175" s="22"/>
      <c r="H175" s="30"/>
      <c r="I175" s="31"/>
      <c r="J175" s="31"/>
      <c r="K175" s="28"/>
      <c r="L175" s="28"/>
      <c r="M175" s="28"/>
      <c r="N175" s="28"/>
      <c r="O175" s="24">
        <f t="shared" si="39"/>
        <v>0</v>
      </c>
      <c r="P175" s="408"/>
    </row>
    <row r="176" spans="1:16" ht="15">
      <c r="A176" s="353" t="s">
        <v>340</v>
      </c>
      <c r="B176" s="416" t="s">
        <v>246</v>
      </c>
      <c r="C176" s="23"/>
      <c r="D176" s="22"/>
      <c r="E176" s="22"/>
      <c r="F176" s="23"/>
      <c r="G176" s="22"/>
      <c r="H176" s="30"/>
      <c r="I176" s="31"/>
      <c r="J176" s="31"/>
      <c r="K176" s="28"/>
      <c r="L176" s="28">
        <v>19935</v>
      </c>
      <c r="M176" s="28">
        <v>15642</v>
      </c>
      <c r="N176" s="28"/>
      <c r="O176" s="24">
        <f aca="true" t="shared" si="45" ref="O176:O207">SUM(C176:N176)</f>
        <v>35577</v>
      </c>
      <c r="P176" s="408"/>
    </row>
    <row r="177" spans="1:16" ht="15">
      <c r="A177" s="353" t="s">
        <v>341</v>
      </c>
      <c r="B177" s="407" t="s">
        <v>247</v>
      </c>
      <c r="C177" s="23"/>
      <c r="D177" s="22"/>
      <c r="E177" s="22"/>
      <c r="F177" s="23"/>
      <c r="G177" s="22"/>
      <c r="H177" s="26">
        <v>15391</v>
      </c>
      <c r="I177" s="31"/>
      <c r="J177" s="27">
        <v>15848</v>
      </c>
      <c r="K177" s="28">
        <v>9818</v>
      </c>
      <c r="L177" s="28"/>
      <c r="M177" s="28">
        <v>14788</v>
      </c>
      <c r="N177" s="28">
        <v>11796</v>
      </c>
      <c r="O177" s="24">
        <f t="shared" si="45"/>
        <v>67641</v>
      </c>
      <c r="P177" s="408"/>
    </row>
    <row r="178" spans="1:16" ht="29.25">
      <c r="A178" s="353" t="s">
        <v>409</v>
      </c>
      <c r="B178" s="332" t="s">
        <v>447</v>
      </c>
      <c r="C178" s="23">
        <v>10183</v>
      </c>
      <c r="D178" s="22"/>
      <c r="E178" s="22"/>
      <c r="F178" s="23"/>
      <c r="G178" s="22"/>
      <c r="H178" s="30"/>
      <c r="I178" s="31"/>
      <c r="J178" s="31"/>
      <c r="K178" s="28"/>
      <c r="L178" s="28"/>
      <c r="M178" s="28"/>
      <c r="N178" s="28"/>
      <c r="O178" s="24">
        <f t="shared" si="45"/>
        <v>10183</v>
      </c>
      <c r="P178" s="408"/>
    </row>
    <row r="179" spans="1:16" ht="43.5">
      <c r="A179" s="396" t="s">
        <v>342</v>
      </c>
      <c r="B179" s="21" t="s">
        <v>449</v>
      </c>
      <c r="C179" s="23">
        <v>1501</v>
      </c>
      <c r="D179" s="22"/>
      <c r="E179" s="22"/>
      <c r="F179" s="23"/>
      <c r="G179" s="22"/>
      <c r="H179" s="26"/>
      <c r="I179" s="31"/>
      <c r="J179" s="31"/>
      <c r="K179" s="28"/>
      <c r="L179" s="28"/>
      <c r="M179" s="28"/>
      <c r="N179" s="28"/>
      <c r="O179" s="24">
        <f t="shared" si="45"/>
        <v>1501</v>
      </c>
      <c r="P179" s="408"/>
    </row>
    <row r="180" spans="1:16" ht="29.25">
      <c r="A180" s="353" t="s">
        <v>404</v>
      </c>
      <c r="B180" s="21" t="s">
        <v>405</v>
      </c>
      <c r="C180" s="23">
        <v>11447</v>
      </c>
      <c r="D180" s="23"/>
      <c r="E180" s="23"/>
      <c r="F180" s="23"/>
      <c r="G180" s="22"/>
      <c r="H180" s="30"/>
      <c r="I180" s="31"/>
      <c r="J180" s="31"/>
      <c r="K180" s="28"/>
      <c r="L180" s="28"/>
      <c r="M180" s="28"/>
      <c r="N180" s="28"/>
      <c r="O180" s="24">
        <f t="shared" si="45"/>
        <v>11447</v>
      </c>
      <c r="P180" s="408"/>
    </row>
    <row r="181" spans="1:16" ht="43.5">
      <c r="A181" s="396" t="s">
        <v>410</v>
      </c>
      <c r="B181" s="21" t="s">
        <v>411</v>
      </c>
      <c r="C181" s="23">
        <v>38799</v>
      </c>
      <c r="D181" s="23"/>
      <c r="E181" s="23"/>
      <c r="F181" s="23"/>
      <c r="G181" s="22"/>
      <c r="H181" s="30"/>
      <c r="I181" s="31"/>
      <c r="J181" s="31"/>
      <c r="K181" s="28"/>
      <c r="L181" s="28"/>
      <c r="M181" s="28"/>
      <c r="N181" s="28"/>
      <c r="O181" s="24">
        <f t="shared" si="45"/>
        <v>38799</v>
      </c>
      <c r="P181" s="408"/>
    </row>
    <row r="182" spans="1:16" ht="15.75" thickBot="1">
      <c r="A182" s="353" t="s">
        <v>448</v>
      </c>
      <c r="B182" s="338" t="s">
        <v>451</v>
      </c>
      <c r="C182" s="110">
        <v>8600</v>
      </c>
      <c r="D182" s="110"/>
      <c r="E182" s="110"/>
      <c r="F182" s="110"/>
      <c r="G182" s="109"/>
      <c r="H182" s="333"/>
      <c r="I182" s="326"/>
      <c r="J182" s="326"/>
      <c r="K182" s="393"/>
      <c r="L182" s="393"/>
      <c r="M182" s="393"/>
      <c r="N182" s="393"/>
      <c r="O182" s="19">
        <f t="shared" si="45"/>
        <v>8600</v>
      </c>
      <c r="P182" s="408"/>
    </row>
    <row r="183" spans="1:17" ht="15.75" thickBot="1">
      <c r="A183" s="94" t="s">
        <v>8</v>
      </c>
      <c r="B183" s="82" t="s">
        <v>116</v>
      </c>
      <c r="C183" s="84">
        <f>SUM(C184+C185+C186+C187)</f>
        <v>2004721</v>
      </c>
      <c r="D183" s="84">
        <f aca="true" t="shared" si="46" ref="D183:N183">SUM(D184+D185+D186+D187)</f>
        <v>14113</v>
      </c>
      <c r="E183" s="84">
        <f t="shared" si="46"/>
        <v>0</v>
      </c>
      <c r="F183" s="84">
        <f t="shared" si="46"/>
        <v>0</v>
      </c>
      <c r="G183" s="83">
        <f t="shared" si="46"/>
        <v>0</v>
      </c>
      <c r="H183" s="304">
        <f t="shared" si="46"/>
        <v>89035</v>
      </c>
      <c r="I183" s="84">
        <f t="shared" si="46"/>
        <v>290960</v>
      </c>
      <c r="J183" s="84">
        <f t="shared" si="46"/>
        <v>38944</v>
      </c>
      <c r="K183" s="84">
        <f t="shared" si="46"/>
        <v>568962</v>
      </c>
      <c r="L183" s="84">
        <f t="shared" si="46"/>
        <v>23242</v>
      </c>
      <c r="M183" s="84">
        <f t="shared" si="46"/>
        <v>81290</v>
      </c>
      <c r="N183" s="84">
        <f t="shared" si="46"/>
        <v>27298</v>
      </c>
      <c r="O183" s="85">
        <f t="shared" si="45"/>
        <v>3138565</v>
      </c>
      <c r="P183" s="408"/>
      <c r="Q183" s="76"/>
    </row>
    <row r="184" spans="1:17" ht="30">
      <c r="A184" s="89" t="s">
        <v>248</v>
      </c>
      <c r="B184" s="128" t="s">
        <v>249</v>
      </c>
      <c r="C184" s="129">
        <v>83124</v>
      </c>
      <c r="D184" s="130"/>
      <c r="E184" s="130"/>
      <c r="F184" s="129"/>
      <c r="G184" s="130"/>
      <c r="H184" s="334">
        <v>22154</v>
      </c>
      <c r="I184" s="335"/>
      <c r="J184" s="336">
        <v>213</v>
      </c>
      <c r="K184" s="337">
        <v>32586</v>
      </c>
      <c r="L184" s="337"/>
      <c r="M184" s="337">
        <v>18890</v>
      </c>
      <c r="N184" s="337">
        <v>1253</v>
      </c>
      <c r="O184" s="131">
        <f t="shared" si="45"/>
        <v>158220</v>
      </c>
      <c r="P184" s="408"/>
      <c r="Q184" s="76"/>
    </row>
    <row r="185" spans="1:17" ht="15">
      <c r="A185" s="86" t="s">
        <v>191</v>
      </c>
      <c r="B185" s="16" t="s">
        <v>192</v>
      </c>
      <c r="C185" s="18">
        <v>64968</v>
      </c>
      <c r="D185" s="18"/>
      <c r="E185" s="18"/>
      <c r="F185" s="18"/>
      <c r="G185" s="17"/>
      <c r="H185" s="320">
        <v>3415</v>
      </c>
      <c r="I185" s="17">
        <v>1707</v>
      </c>
      <c r="J185" s="17">
        <v>3415</v>
      </c>
      <c r="K185" s="17">
        <v>5122</v>
      </c>
      <c r="L185" s="33">
        <v>3415</v>
      </c>
      <c r="M185" s="383">
        <f>3415+3415</f>
        <v>6830</v>
      </c>
      <c r="N185" s="18">
        <v>5122</v>
      </c>
      <c r="O185" s="113">
        <f t="shared" si="45"/>
        <v>93994</v>
      </c>
      <c r="P185" s="408"/>
      <c r="Q185" s="76"/>
    </row>
    <row r="186" spans="1:17" ht="15">
      <c r="A186" s="86" t="s">
        <v>117</v>
      </c>
      <c r="B186" s="16" t="s">
        <v>118</v>
      </c>
      <c r="C186" s="132">
        <v>42686</v>
      </c>
      <c r="D186" s="57"/>
      <c r="E186" s="57"/>
      <c r="F186" s="87"/>
      <c r="G186" s="57"/>
      <c r="H186" s="106"/>
      <c r="I186" s="59"/>
      <c r="J186" s="59"/>
      <c r="K186" s="60"/>
      <c r="L186" s="60"/>
      <c r="M186" s="60"/>
      <c r="N186" s="60"/>
      <c r="O186" s="24">
        <f t="shared" si="45"/>
        <v>42686</v>
      </c>
      <c r="P186" s="408"/>
      <c r="Q186" s="76"/>
    </row>
    <row r="187" spans="1:17" ht="30">
      <c r="A187" s="89" t="s">
        <v>119</v>
      </c>
      <c r="B187" s="32" t="s">
        <v>120</v>
      </c>
      <c r="C187" s="34">
        <f>SUM(C188:C201)</f>
        <v>1813943</v>
      </c>
      <c r="D187" s="34">
        <v>14113</v>
      </c>
      <c r="E187" s="34">
        <f aca="true" t="shared" si="47" ref="E187:N187">SUM(E188:E201)</f>
        <v>0</v>
      </c>
      <c r="F187" s="34">
        <f t="shared" si="47"/>
        <v>0</v>
      </c>
      <c r="G187" s="34">
        <f t="shared" si="47"/>
        <v>0</v>
      </c>
      <c r="H187" s="34">
        <f t="shared" si="47"/>
        <v>63466</v>
      </c>
      <c r="I187" s="34">
        <f t="shared" si="47"/>
        <v>289253</v>
      </c>
      <c r="J187" s="34">
        <f t="shared" si="47"/>
        <v>35316</v>
      </c>
      <c r="K187" s="34">
        <f t="shared" si="47"/>
        <v>531254</v>
      </c>
      <c r="L187" s="34">
        <f t="shared" si="47"/>
        <v>19827</v>
      </c>
      <c r="M187" s="34">
        <f t="shared" si="47"/>
        <v>55570</v>
      </c>
      <c r="N187" s="34">
        <f t="shared" si="47"/>
        <v>20923</v>
      </c>
      <c r="O187" s="24">
        <f t="shared" si="45"/>
        <v>2843665</v>
      </c>
      <c r="P187" s="408"/>
      <c r="Q187" s="76"/>
    </row>
    <row r="188" spans="1:17" ht="15">
      <c r="A188" s="88" t="s">
        <v>343</v>
      </c>
      <c r="B188" s="21" t="s">
        <v>121</v>
      </c>
      <c r="C188" s="23">
        <v>871453</v>
      </c>
      <c r="D188" s="22"/>
      <c r="E188" s="22"/>
      <c r="F188" s="23"/>
      <c r="G188" s="22"/>
      <c r="H188" s="26">
        <v>4866</v>
      </c>
      <c r="I188" s="27"/>
      <c r="J188" s="27">
        <v>15260</v>
      </c>
      <c r="K188" s="28">
        <v>3953</v>
      </c>
      <c r="L188" s="28">
        <v>912</v>
      </c>
      <c r="M188" s="28">
        <f>1187+2484</f>
        <v>3671</v>
      </c>
      <c r="N188" s="28">
        <v>2447</v>
      </c>
      <c r="O188" s="24">
        <f t="shared" si="45"/>
        <v>902562</v>
      </c>
      <c r="P188" s="408"/>
      <c r="Q188" s="76"/>
    </row>
    <row r="189" spans="1:17" ht="15">
      <c r="A189" s="88" t="s">
        <v>344</v>
      </c>
      <c r="B189" s="21" t="s">
        <v>135</v>
      </c>
      <c r="C189" s="23">
        <v>912762</v>
      </c>
      <c r="D189" s="22"/>
      <c r="E189" s="22"/>
      <c r="F189" s="23"/>
      <c r="G189" s="22"/>
      <c r="H189" s="26">
        <v>58600</v>
      </c>
      <c r="I189" s="27">
        <v>38859</v>
      </c>
      <c r="J189" s="27">
        <v>19771</v>
      </c>
      <c r="K189" s="28">
        <v>43614</v>
      </c>
      <c r="L189" s="28">
        <v>18915</v>
      </c>
      <c r="M189" s="28">
        <f>20514+31385</f>
        <v>51899</v>
      </c>
      <c r="N189" s="28">
        <v>18476</v>
      </c>
      <c r="O189" s="24">
        <f t="shared" si="45"/>
        <v>1162896</v>
      </c>
      <c r="P189" s="408"/>
      <c r="Q189" s="76"/>
    </row>
    <row r="190" spans="1:17" ht="19.5" customHeight="1">
      <c r="A190" s="88" t="s">
        <v>345</v>
      </c>
      <c r="B190" s="338" t="s">
        <v>406</v>
      </c>
      <c r="C190" s="23"/>
      <c r="D190" s="22"/>
      <c r="E190" s="22"/>
      <c r="F190" s="23"/>
      <c r="G190" s="22"/>
      <c r="H190" s="26"/>
      <c r="I190" s="27"/>
      <c r="J190" s="27"/>
      <c r="K190" s="28"/>
      <c r="L190" s="28"/>
      <c r="M190" s="28"/>
      <c r="N190" s="28"/>
      <c r="O190" s="24">
        <f t="shared" si="45"/>
        <v>0</v>
      </c>
      <c r="P190" s="408"/>
      <c r="Q190" s="76"/>
    </row>
    <row r="191" spans="1:17" ht="15">
      <c r="A191" s="88" t="s">
        <v>346</v>
      </c>
      <c r="B191" s="21" t="s">
        <v>194</v>
      </c>
      <c r="C191" s="23"/>
      <c r="D191" s="22"/>
      <c r="E191" s="22"/>
      <c r="F191" s="23"/>
      <c r="G191" s="22"/>
      <c r="H191" s="26"/>
      <c r="I191" s="27">
        <v>250394</v>
      </c>
      <c r="J191" s="27"/>
      <c r="K191" s="28"/>
      <c r="L191" s="28"/>
      <c r="M191" s="28"/>
      <c r="N191" s="28"/>
      <c r="O191" s="24">
        <f t="shared" si="45"/>
        <v>250394</v>
      </c>
      <c r="P191" s="408"/>
      <c r="Q191" s="76"/>
    </row>
    <row r="192" spans="1:17" ht="15">
      <c r="A192" s="88" t="s">
        <v>347</v>
      </c>
      <c r="B192" s="21" t="s">
        <v>195</v>
      </c>
      <c r="C192" s="23"/>
      <c r="D192" s="22"/>
      <c r="E192" s="22"/>
      <c r="F192" s="23"/>
      <c r="G192" s="22"/>
      <c r="H192" s="26"/>
      <c r="I192" s="27"/>
      <c r="J192" s="27"/>
      <c r="K192" s="28">
        <v>482287</v>
      </c>
      <c r="L192" s="28"/>
      <c r="M192" s="28"/>
      <c r="N192" s="28"/>
      <c r="O192" s="24">
        <f t="shared" si="45"/>
        <v>482287</v>
      </c>
      <c r="P192" s="408"/>
      <c r="Q192" s="76"/>
    </row>
    <row r="193" spans="1:16" ht="15">
      <c r="A193" s="88" t="s">
        <v>348</v>
      </c>
      <c r="B193" s="21" t="s">
        <v>124</v>
      </c>
      <c r="C193" s="22">
        <v>1281</v>
      </c>
      <c r="D193" s="22"/>
      <c r="E193" s="22"/>
      <c r="F193" s="23"/>
      <c r="G193" s="22"/>
      <c r="H193" s="30"/>
      <c r="I193" s="31"/>
      <c r="J193" s="31"/>
      <c r="K193" s="28"/>
      <c r="L193" s="28"/>
      <c r="M193" s="28"/>
      <c r="N193" s="28"/>
      <c r="O193" s="24">
        <f t="shared" si="45"/>
        <v>1281</v>
      </c>
      <c r="P193" s="408"/>
    </row>
    <row r="194" spans="1:16" ht="15">
      <c r="A194" s="88" t="s">
        <v>349</v>
      </c>
      <c r="B194" s="21" t="s">
        <v>122</v>
      </c>
      <c r="C194" s="23">
        <v>11750</v>
      </c>
      <c r="D194" s="22"/>
      <c r="E194" s="22"/>
      <c r="F194" s="23"/>
      <c r="G194" s="22"/>
      <c r="H194" s="30"/>
      <c r="I194" s="31"/>
      <c r="J194" s="31"/>
      <c r="K194" s="28"/>
      <c r="L194" s="28"/>
      <c r="M194" s="28"/>
      <c r="N194" s="28"/>
      <c r="O194" s="24">
        <f t="shared" si="45"/>
        <v>11750</v>
      </c>
      <c r="P194" s="408"/>
    </row>
    <row r="195" spans="1:16" ht="15">
      <c r="A195" s="88" t="s">
        <v>350</v>
      </c>
      <c r="B195" s="21" t="s">
        <v>123</v>
      </c>
      <c r="C195" s="23">
        <v>569</v>
      </c>
      <c r="D195" s="22"/>
      <c r="E195" s="22"/>
      <c r="F195" s="23"/>
      <c r="G195" s="22"/>
      <c r="H195" s="30"/>
      <c r="I195" s="31"/>
      <c r="J195" s="31"/>
      <c r="K195" s="28"/>
      <c r="L195" s="28"/>
      <c r="M195" s="28"/>
      <c r="N195" s="28"/>
      <c r="O195" s="24">
        <f t="shared" si="45"/>
        <v>569</v>
      </c>
      <c r="P195" s="408"/>
    </row>
    <row r="196" spans="1:16" ht="15">
      <c r="A196" s="88" t="s">
        <v>351</v>
      </c>
      <c r="B196" s="21" t="s">
        <v>136</v>
      </c>
      <c r="C196" s="23">
        <v>13922</v>
      </c>
      <c r="D196" s="22"/>
      <c r="E196" s="22"/>
      <c r="F196" s="23"/>
      <c r="G196" s="22"/>
      <c r="H196" s="30"/>
      <c r="I196" s="31"/>
      <c r="J196" s="31"/>
      <c r="K196" s="28"/>
      <c r="L196" s="28"/>
      <c r="M196" s="28"/>
      <c r="N196" s="28"/>
      <c r="O196" s="24">
        <f t="shared" si="45"/>
        <v>13922</v>
      </c>
      <c r="P196" s="408"/>
    </row>
    <row r="197" spans="1:16" ht="15">
      <c r="A197" s="88" t="s">
        <v>352</v>
      </c>
      <c r="B197" s="21" t="s">
        <v>193</v>
      </c>
      <c r="C197" s="38"/>
      <c r="D197" s="22"/>
      <c r="E197" s="22"/>
      <c r="F197" s="23"/>
      <c r="G197" s="22"/>
      <c r="H197" s="120"/>
      <c r="I197" s="27"/>
      <c r="J197" s="27">
        <v>285</v>
      </c>
      <c r="K197" s="29">
        <v>1400</v>
      </c>
      <c r="L197" s="29"/>
      <c r="M197" s="29"/>
      <c r="N197" s="29"/>
      <c r="O197" s="24">
        <f t="shared" si="45"/>
        <v>1685</v>
      </c>
      <c r="P197" s="408"/>
    </row>
    <row r="198" spans="1:16" ht="15">
      <c r="A198" s="88" t="s">
        <v>353</v>
      </c>
      <c r="B198" s="21" t="s">
        <v>196</v>
      </c>
      <c r="C198" s="23">
        <v>427</v>
      </c>
      <c r="D198" s="23"/>
      <c r="E198" s="23"/>
      <c r="F198" s="23"/>
      <c r="G198" s="22"/>
      <c r="H198" s="30"/>
      <c r="I198" s="31"/>
      <c r="J198" s="31"/>
      <c r="K198" s="28"/>
      <c r="L198" s="28"/>
      <c r="M198" s="28"/>
      <c r="N198" s="28"/>
      <c r="O198" s="24">
        <f t="shared" si="45"/>
        <v>427</v>
      </c>
      <c r="P198" s="408"/>
    </row>
    <row r="199" spans="1:16" ht="15">
      <c r="A199" s="88" t="s">
        <v>372</v>
      </c>
      <c r="B199" s="21" t="s">
        <v>452</v>
      </c>
      <c r="C199" s="110"/>
      <c r="D199" s="110"/>
      <c r="E199" s="110"/>
      <c r="F199" s="110"/>
      <c r="G199" s="109"/>
      <c r="H199" s="111"/>
      <c r="I199" s="326"/>
      <c r="J199" s="326"/>
      <c r="K199" s="112"/>
      <c r="L199" s="112"/>
      <c r="M199" s="112"/>
      <c r="N199" s="112"/>
      <c r="O199" s="24">
        <f t="shared" si="45"/>
        <v>0</v>
      </c>
      <c r="P199" s="408"/>
    </row>
    <row r="200" spans="1:16" ht="15">
      <c r="A200" s="88" t="s">
        <v>373</v>
      </c>
      <c r="B200" s="21" t="s">
        <v>374</v>
      </c>
      <c r="C200" s="22">
        <v>1779</v>
      </c>
      <c r="D200" s="22"/>
      <c r="E200" s="22"/>
      <c r="F200" s="22"/>
      <c r="G200" s="22"/>
      <c r="H200" s="31"/>
      <c r="I200" s="31"/>
      <c r="J200" s="31"/>
      <c r="K200" s="28"/>
      <c r="L200" s="28"/>
      <c r="M200" s="28"/>
      <c r="N200" s="28"/>
      <c r="O200" s="24">
        <f t="shared" si="45"/>
        <v>1779</v>
      </c>
      <c r="P200" s="408"/>
    </row>
    <row r="201" spans="1:16" ht="15.75" thickBot="1">
      <c r="A201" s="88"/>
      <c r="B201" s="338"/>
      <c r="C201" s="110"/>
      <c r="D201" s="110"/>
      <c r="E201" s="110"/>
      <c r="F201" s="110"/>
      <c r="G201" s="109"/>
      <c r="H201" s="111"/>
      <c r="I201" s="326"/>
      <c r="J201" s="326"/>
      <c r="K201" s="112"/>
      <c r="L201" s="112"/>
      <c r="M201" s="112"/>
      <c r="N201" s="112"/>
      <c r="O201" s="24">
        <f t="shared" si="45"/>
        <v>0</v>
      </c>
      <c r="P201" s="408"/>
    </row>
    <row r="202" spans="1:17" ht="15.75" thickBot="1">
      <c r="A202" s="133"/>
      <c r="B202" s="134" t="s">
        <v>16</v>
      </c>
      <c r="C202" s="84">
        <f aca="true" t="shared" si="48" ref="C202:N202">C54+C61+C65+C83+C98+C116+C121+C139+C183</f>
        <v>31071178</v>
      </c>
      <c r="D202" s="84">
        <f t="shared" si="48"/>
        <v>16270992</v>
      </c>
      <c r="E202" s="84">
        <f t="shared" si="48"/>
        <v>1343572</v>
      </c>
      <c r="F202" s="84">
        <f t="shared" si="48"/>
        <v>571995</v>
      </c>
      <c r="G202" s="83">
        <f t="shared" si="48"/>
        <v>0</v>
      </c>
      <c r="H202" s="304">
        <f t="shared" si="48"/>
        <v>2495124</v>
      </c>
      <c r="I202" s="83">
        <f t="shared" si="48"/>
        <v>915372</v>
      </c>
      <c r="J202" s="83">
        <f t="shared" si="48"/>
        <v>738104</v>
      </c>
      <c r="K202" s="84">
        <f t="shared" si="48"/>
        <v>2409236</v>
      </c>
      <c r="L202" s="84">
        <f t="shared" si="48"/>
        <v>196633</v>
      </c>
      <c r="M202" s="84">
        <f t="shared" si="48"/>
        <v>969560</v>
      </c>
      <c r="N202" s="84">
        <f t="shared" si="48"/>
        <v>264555</v>
      </c>
      <c r="O202" s="85">
        <f t="shared" si="45"/>
        <v>57246321</v>
      </c>
      <c r="P202" s="408"/>
      <c r="Q202" s="76"/>
    </row>
    <row r="203" spans="1:16" ht="15">
      <c r="A203" s="70" t="s">
        <v>197</v>
      </c>
      <c r="B203" s="135" t="s">
        <v>17</v>
      </c>
      <c r="C203" s="137">
        <v>1150158</v>
      </c>
      <c r="D203" s="137"/>
      <c r="E203" s="137"/>
      <c r="F203" s="136"/>
      <c r="G203" s="137"/>
      <c r="H203" s="339">
        <v>8770</v>
      </c>
      <c r="I203" s="78">
        <v>8725</v>
      </c>
      <c r="J203" s="78">
        <v>36474</v>
      </c>
      <c r="K203" s="78">
        <v>33955</v>
      </c>
      <c r="L203" s="78"/>
      <c r="M203" s="78">
        <f>22551+16270</f>
        <v>38821</v>
      </c>
      <c r="N203" s="78">
        <v>41827</v>
      </c>
      <c r="O203" s="143">
        <f t="shared" si="45"/>
        <v>1318730</v>
      </c>
      <c r="P203" s="408"/>
    </row>
    <row r="204" spans="1:16" ht="15">
      <c r="A204" s="70" t="s">
        <v>458</v>
      </c>
      <c r="B204" s="135" t="s">
        <v>459</v>
      </c>
      <c r="C204" s="137"/>
      <c r="D204" s="137"/>
      <c r="E204" s="137"/>
      <c r="F204" s="136"/>
      <c r="G204" s="137">
        <v>19091</v>
      </c>
      <c r="H204" s="339"/>
      <c r="I204" s="78"/>
      <c r="J204" s="78"/>
      <c r="K204" s="78"/>
      <c r="L204" s="78"/>
      <c r="M204" s="78"/>
      <c r="N204" s="78"/>
      <c r="O204" s="143">
        <f t="shared" si="45"/>
        <v>19091</v>
      </c>
      <c r="P204" s="408"/>
    </row>
    <row r="205" spans="1:16" ht="29.25">
      <c r="A205" s="139" t="s">
        <v>250</v>
      </c>
      <c r="B205" s="140" t="s">
        <v>457</v>
      </c>
      <c r="C205" s="137">
        <v>42686</v>
      </c>
      <c r="D205" s="137"/>
      <c r="E205" s="137"/>
      <c r="F205" s="136"/>
      <c r="G205" s="137"/>
      <c r="H205" s="78"/>
      <c r="I205" s="78"/>
      <c r="J205" s="78"/>
      <c r="K205" s="78"/>
      <c r="L205" s="78"/>
      <c r="M205" s="78"/>
      <c r="N205" s="78"/>
      <c r="O205" s="143">
        <f t="shared" si="45"/>
        <v>42686</v>
      </c>
      <c r="P205" s="408"/>
    </row>
    <row r="206" spans="2:16" ht="15">
      <c r="B206" s="1"/>
      <c r="C206" s="76"/>
      <c r="D206" s="76"/>
      <c r="E206" s="76"/>
      <c r="F206" s="141"/>
      <c r="G206" s="76"/>
      <c r="O206" s="143">
        <f t="shared" si="45"/>
        <v>0</v>
      </c>
      <c r="P206" s="408"/>
    </row>
    <row r="207" spans="2:16" ht="29.25">
      <c r="B207" s="142" t="s">
        <v>253</v>
      </c>
      <c r="C207" s="76">
        <v>997000</v>
      </c>
      <c r="D207" s="76">
        <v>2180929</v>
      </c>
      <c r="E207" s="76"/>
      <c r="F207" s="141"/>
      <c r="G207" s="76"/>
      <c r="H207" s="1">
        <v>14966</v>
      </c>
      <c r="K207" s="1">
        <v>194639</v>
      </c>
      <c r="L207" s="1">
        <v>7101</v>
      </c>
      <c r="O207" s="143">
        <f t="shared" si="45"/>
        <v>3394635</v>
      </c>
      <c r="P207" s="408"/>
    </row>
    <row r="208" spans="1:16" ht="29.25">
      <c r="A208" s="366" t="s">
        <v>356</v>
      </c>
      <c r="B208" s="365" t="s">
        <v>261</v>
      </c>
      <c r="C208" s="143">
        <f aca="true" t="shared" si="49" ref="C208:N208">C42-C202-C203-C204-C205-C207</f>
        <v>7692735</v>
      </c>
      <c r="D208" s="143">
        <f t="shared" si="49"/>
        <v>-1050087</v>
      </c>
      <c r="E208" s="143">
        <f t="shared" si="49"/>
        <v>-1205578</v>
      </c>
      <c r="F208" s="143">
        <f t="shared" si="49"/>
        <v>-229146</v>
      </c>
      <c r="G208" s="143">
        <f t="shared" si="49"/>
        <v>0</v>
      </c>
      <c r="H208" s="143">
        <f t="shared" si="49"/>
        <v>-1465903</v>
      </c>
      <c r="I208" s="143">
        <f t="shared" si="49"/>
        <v>-434612</v>
      </c>
      <c r="J208" s="143">
        <f t="shared" si="49"/>
        <v>-546803</v>
      </c>
      <c r="K208" s="143">
        <f t="shared" si="49"/>
        <v>-1560922</v>
      </c>
      <c r="L208" s="143">
        <f t="shared" si="49"/>
        <v>-121897</v>
      </c>
      <c r="M208" s="143">
        <f t="shared" si="49"/>
        <v>-840159</v>
      </c>
      <c r="N208" s="143">
        <f t="shared" si="49"/>
        <v>-237628</v>
      </c>
      <c r="O208" s="143">
        <f>SUM(C208:N208)</f>
        <v>0</v>
      </c>
      <c r="P208" s="408"/>
    </row>
    <row r="209" spans="1:16" ht="15">
      <c r="A209" s="366"/>
      <c r="B209" s="395"/>
      <c r="C209" s="143"/>
      <c r="D209" s="143">
        <v>1192299</v>
      </c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408"/>
    </row>
    <row r="210" spans="2:16" ht="15">
      <c r="B210" s="341"/>
      <c r="C210" s="143"/>
      <c r="D210" s="143">
        <v>-142212</v>
      </c>
      <c r="E210" s="143"/>
      <c r="F210" s="143"/>
      <c r="G210" s="143"/>
      <c r="H210" s="342"/>
      <c r="I210" s="343"/>
      <c r="J210" s="342"/>
      <c r="K210" s="343"/>
      <c r="L210" s="342"/>
      <c r="M210" s="342"/>
      <c r="N210" s="342"/>
      <c r="O210" s="342"/>
      <c r="P210" s="408"/>
    </row>
    <row r="211" spans="2:16" ht="15">
      <c r="B211" s="75"/>
      <c r="O211" s="344"/>
      <c r="P211" s="408"/>
    </row>
    <row r="212" spans="2:16" ht="15">
      <c r="B212" s="75" t="s">
        <v>18</v>
      </c>
      <c r="D212" s="3" t="s">
        <v>19</v>
      </c>
      <c r="O212" s="344"/>
      <c r="P212" s="408"/>
    </row>
    <row r="213" spans="1:16" ht="15">
      <c r="A213" s="144"/>
      <c r="B213" s="80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41"/>
      <c r="P213" s="408"/>
    </row>
    <row r="214" spans="2:16" ht="15">
      <c r="B214" s="75"/>
      <c r="P214" s="408"/>
    </row>
    <row r="215" spans="1:16" ht="44.25" customHeight="1" thickBot="1">
      <c r="A215" s="417" t="s">
        <v>419</v>
      </c>
      <c r="B215" s="417"/>
      <c r="C215" s="417"/>
      <c r="D215" s="417"/>
      <c r="E215" s="76"/>
      <c r="F215" s="76"/>
      <c r="G215" s="76"/>
      <c r="P215" s="408"/>
    </row>
    <row r="216" spans="1:16" ht="15">
      <c r="A216" s="345">
        <v>1100</v>
      </c>
      <c r="B216" s="346" t="s">
        <v>257</v>
      </c>
      <c r="C216" s="145">
        <v>8801372</v>
      </c>
      <c r="D216" s="145">
        <v>2242375</v>
      </c>
      <c r="E216" s="145">
        <v>479990</v>
      </c>
      <c r="F216" s="145">
        <v>250240</v>
      </c>
      <c r="G216" s="145"/>
      <c r="H216" s="414">
        <f>787634+37871+24036</f>
        <v>849541</v>
      </c>
      <c r="I216" s="146">
        <f>278532-37871+12925</f>
        <v>253586</v>
      </c>
      <c r="J216" s="145">
        <v>292532</v>
      </c>
      <c r="K216" s="145">
        <f>1145372+33332</f>
        <v>1178704</v>
      </c>
      <c r="L216" s="409">
        <f>109973-33332</f>
        <v>76641</v>
      </c>
      <c r="M216" s="145">
        <f>132992+326464+18082</f>
        <v>477538</v>
      </c>
      <c r="N216" s="145">
        <f>129804-18082</f>
        <v>111722</v>
      </c>
      <c r="O216" s="347">
        <f aca="true" t="shared" si="50" ref="O216:O236">SUM(C216:N216)</f>
        <v>15014241</v>
      </c>
      <c r="P216" s="408"/>
    </row>
    <row r="217" spans="1:16" ht="57.75">
      <c r="A217" s="37">
        <v>1200</v>
      </c>
      <c r="B217" s="21" t="s">
        <v>259</v>
      </c>
      <c r="C217" s="28">
        <v>2649220</v>
      </c>
      <c r="D217" s="28">
        <v>525161</v>
      </c>
      <c r="E217" s="28">
        <v>140048</v>
      </c>
      <c r="F217" s="28">
        <v>68946</v>
      </c>
      <c r="G217" s="29"/>
      <c r="H217" s="28">
        <f>239188+14873+5670</f>
        <v>259731</v>
      </c>
      <c r="I217" s="348">
        <f>86511-14873+3049</f>
        <v>74687</v>
      </c>
      <c r="J217" s="28">
        <v>94223</v>
      </c>
      <c r="K217" s="28">
        <f>347042+10622</f>
        <v>357664</v>
      </c>
      <c r="L217" s="39">
        <f>33381-10622</f>
        <v>22759</v>
      </c>
      <c r="M217" s="28">
        <f>40879+114914+5746</f>
        <v>161539</v>
      </c>
      <c r="N217" s="28">
        <f>39720-5746</f>
        <v>33974</v>
      </c>
      <c r="O217" s="349">
        <f t="shared" si="50"/>
        <v>4387952</v>
      </c>
      <c r="P217" s="408"/>
    </row>
    <row r="218" spans="1:16" ht="15">
      <c r="A218" s="37">
        <v>2000</v>
      </c>
      <c r="B218" s="21" t="s">
        <v>155</v>
      </c>
      <c r="C218" s="28">
        <f>SUM(C219:C224)</f>
        <v>5196962</v>
      </c>
      <c r="D218" s="28">
        <f>SUM(D219:D224)</f>
        <v>9683407</v>
      </c>
      <c r="E218" s="28">
        <f>SUM(E219:E224)</f>
        <v>677452</v>
      </c>
      <c r="F218" s="28">
        <f aca="true" t="shared" si="51" ref="F218:N218">SUM(F219:F224)</f>
        <v>207433</v>
      </c>
      <c r="G218" s="28">
        <f t="shared" si="51"/>
        <v>0</v>
      </c>
      <c r="H218" s="28">
        <f t="shared" si="51"/>
        <v>749989</v>
      </c>
      <c r="I218" s="28">
        <f t="shared" si="51"/>
        <v>238516</v>
      </c>
      <c r="J218" s="28">
        <f>SUM(J219:J224)</f>
        <v>308443</v>
      </c>
      <c r="K218" s="28">
        <f t="shared" si="51"/>
        <v>732922</v>
      </c>
      <c r="L218" s="39">
        <f t="shared" si="51"/>
        <v>72698</v>
      </c>
      <c r="M218" s="28">
        <f t="shared" si="51"/>
        <v>251182</v>
      </c>
      <c r="N218" s="28">
        <f t="shared" si="51"/>
        <v>72084</v>
      </c>
      <c r="O218" s="349">
        <f t="shared" si="50"/>
        <v>18191088</v>
      </c>
      <c r="P218" s="408"/>
    </row>
    <row r="219" spans="1:16" ht="29.25">
      <c r="A219" s="37">
        <v>2100</v>
      </c>
      <c r="B219" s="21" t="s">
        <v>258</v>
      </c>
      <c r="C219" s="28">
        <v>41273</v>
      </c>
      <c r="D219" s="28">
        <v>4980</v>
      </c>
      <c r="E219" s="28">
        <v>717</v>
      </c>
      <c r="F219" s="28"/>
      <c r="G219" s="28"/>
      <c r="H219" s="348">
        <f>1279+71</f>
        <v>1350</v>
      </c>
      <c r="I219" s="28">
        <f>498-71</f>
        <v>427</v>
      </c>
      <c r="J219" s="28">
        <v>168</v>
      </c>
      <c r="K219" s="28">
        <v>613</v>
      </c>
      <c r="L219" s="39"/>
      <c r="M219" s="28">
        <f>419+609+142</f>
        <v>1170</v>
      </c>
      <c r="N219" s="28">
        <f>925-142</f>
        <v>783</v>
      </c>
      <c r="O219" s="349">
        <f t="shared" si="50"/>
        <v>51481</v>
      </c>
      <c r="P219" s="408"/>
    </row>
    <row r="220" spans="1:16" ht="15">
      <c r="A220" s="37">
        <v>2200</v>
      </c>
      <c r="B220" s="21" t="s">
        <v>156</v>
      </c>
      <c r="C220" s="28">
        <f>4180308-72753-11049</f>
        <v>4096506</v>
      </c>
      <c r="D220" s="28">
        <v>4929240</v>
      </c>
      <c r="E220" s="28">
        <v>585164</v>
      </c>
      <c r="F220" s="28">
        <v>164829</v>
      </c>
      <c r="G220" s="28"/>
      <c r="H220" s="348">
        <f>453117+8497-24036</f>
        <v>437578</v>
      </c>
      <c r="I220" s="28">
        <f>104084-8497-12925</f>
        <v>82662</v>
      </c>
      <c r="J220" s="28">
        <v>183444</v>
      </c>
      <c r="K220" s="28">
        <f>269404+18473</f>
        <v>287877</v>
      </c>
      <c r="L220" s="39">
        <f>65161-18473</f>
        <v>46688</v>
      </c>
      <c r="M220" s="28">
        <f>58751+64937+6032</f>
        <v>129720</v>
      </c>
      <c r="N220" s="28">
        <f>36348-6032+1713</f>
        <v>32029</v>
      </c>
      <c r="O220" s="349">
        <f t="shared" si="50"/>
        <v>10975737</v>
      </c>
      <c r="P220" s="408"/>
    </row>
    <row r="221" spans="1:16" ht="43.5">
      <c r="A221" s="37">
        <v>2300</v>
      </c>
      <c r="B221" s="21" t="s">
        <v>157</v>
      </c>
      <c r="C221" s="28">
        <v>967671</v>
      </c>
      <c r="D221" s="28">
        <v>4664274</v>
      </c>
      <c r="E221" s="28">
        <v>80899</v>
      </c>
      <c r="F221" s="28">
        <v>17054</v>
      </c>
      <c r="G221" s="28"/>
      <c r="H221" s="348">
        <f>280036+13382+2330</f>
        <v>295748</v>
      </c>
      <c r="I221" s="28">
        <f>163616-13382</f>
        <v>150234</v>
      </c>
      <c r="J221" s="28">
        <v>122356</v>
      </c>
      <c r="K221" s="28">
        <f>404518+28841</f>
        <v>433359</v>
      </c>
      <c r="L221" s="39">
        <f>53628-28841</f>
        <v>24787</v>
      </c>
      <c r="M221" s="28">
        <f>40152+64178+8608</f>
        <v>112938</v>
      </c>
      <c r="N221" s="28">
        <f>46956-8608</f>
        <v>38348</v>
      </c>
      <c r="O221" s="349">
        <f t="shared" si="50"/>
        <v>6907668</v>
      </c>
      <c r="P221" s="408"/>
    </row>
    <row r="222" spans="1:16" ht="15">
      <c r="A222" s="37">
        <v>2400</v>
      </c>
      <c r="B222" s="21" t="s">
        <v>198</v>
      </c>
      <c r="C222" s="28">
        <v>5622</v>
      </c>
      <c r="D222" s="28"/>
      <c r="E222" s="28"/>
      <c r="F222" s="28"/>
      <c r="G222" s="28"/>
      <c r="H222" s="348">
        <v>2475</v>
      </c>
      <c r="I222" s="28">
        <v>356</v>
      </c>
      <c r="J222" s="28">
        <v>711</v>
      </c>
      <c r="K222" s="28">
        <v>1206</v>
      </c>
      <c r="L222" s="39">
        <v>512</v>
      </c>
      <c r="M222" s="28">
        <f>558+1473</f>
        <v>2031</v>
      </c>
      <c r="N222" s="28">
        <v>711</v>
      </c>
      <c r="O222" s="349">
        <f t="shared" si="50"/>
        <v>13624</v>
      </c>
      <c r="P222" s="408"/>
    </row>
    <row r="223" spans="1:16" ht="15">
      <c r="A223" s="37">
        <v>2500</v>
      </c>
      <c r="B223" s="21" t="s">
        <v>158</v>
      </c>
      <c r="C223" s="28">
        <v>57090</v>
      </c>
      <c r="D223" s="28">
        <v>84913</v>
      </c>
      <c r="E223" s="28">
        <v>10672</v>
      </c>
      <c r="F223" s="28">
        <v>25550</v>
      </c>
      <c r="G223" s="28"/>
      <c r="H223" s="348">
        <v>12838</v>
      </c>
      <c r="I223" s="28">
        <v>4837</v>
      </c>
      <c r="J223" s="28">
        <v>1764</v>
      </c>
      <c r="K223" s="28">
        <v>9867</v>
      </c>
      <c r="L223" s="39">
        <v>711</v>
      </c>
      <c r="M223" s="28">
        <f>1906+3417</f>
        <v>5323</v>
      </c>
      <c r="N223" s="28">
        <v>213</v>
      </c>
      <c r="O223" s="349">
        <f t="shared" si="50"/>
        <v>213778</v>
      </c>
      <c r="P223" s="408"/>
    </row>
    <row r="224" spans="1:16" ht="43.5">
      <c r="A224" s="37">
        <v>2800</v>
      </c>
      <c r="B224" s="21" t="s">
        <v>375</v>
      </c>
      <c r="C224" s="28">
        <v>28800</v>
      </c>
      <c r="D224" s="28"/>
      <c r="E224" s="28"/>
      <c r="F224" s="28"/>
      <c r="G224" s="28"/>
      <c r="H224" s="348"/>
      <c r="I224" s="28"/>
      <c r="J224" s="28"/>
      <c r="K224" s="28"/>
      <c r="L224" s="39"/>
      <c r="M224" s="28"/>
      <c r="N224" s="28"/>
      <c r="O224" s="349">
        <f t="shared" si="50"/>
        <v>28800</v>
      </c>
      <c r="P224" s="408"/>
    </row>
    <row r="225" spans="1:16" ht="29.25">
      <c r="A225" s="37">
        <v>3200</v>
      </c>
      <c r="B225" s="21" t="s">
        <v>260</v>
      </c>
      <c r="C225" s="28">
        <v>92734</v>
      </c>
      <c r="D225" s="28"/>
      <c r="E225" s="28"/>
      <c r="F225" s="28"/>
      <c r="G225" s="28"/>
      <c r="H225" s="348"/>
      <c r="I225" s="28"/>
      <c r="J225" s="28"/>
      <c r="K225" s="28"/>
      <c r="L225" s="39"/>
      <c r="M225" s="28"/>
      <c r="N225" s="28"/>
      <c r="O225" s="349">
        <f t="shared" si="50"/>
        <v>92734</v>
      </c>
      <c r="P225" s="408"/>
    </row>
    <row r="226" spans="1:16" ht="29.25">
      <c r="A226" s="37">
        <v>4200</v>
      </c>
      <c r="B226" s="21" t="s">
        <v>160</v>
      </c>
      <c r="C226" s="28"/>
      <c r="D226" s="28"/>
      <c r="E226" s="28"/>
      <c r="F226" s="28"/>
      <c r="G226" s="28"/>
      <c r="H226" s="348"/>
      <c r="I226" s="28"/>
      <c r="J226" s="28"/>
      <c r="K226" s="28"/>
      <c r="L226" s="39"/>
      <c r="M226" s="28"/>
      <c r="N226" s="28"/>
      <c r="O226" s="349">
        <f t="shared" si="50"/>
        <v>0</v>
      </c>
      <c r="P226" s="408"/>
    </row>
    <row r="227" spans="1:16" ht="15">
      <c r="A227" s="37">
        <v>4300</v>
      </c>
      <c r="B227" s="21" t="s">
        <v>161</v>
      </c>
      <c r="C227" s="28">
        <v>407462</v>
      </c>
      <c r="D227" s="28"/>
      <c r="E227" s="28"/>
      <c r="F227" s="28"/>
      <c r="G227" s="28"/>
      <c r="H227" s="348">
        <v>1781</v>
      </c>
      <c r="I227" s="28">
        <v>1039</v>
      </c>
      <c r="J227" s="28">
        <v>10970</v>
      </c>
      <c r="K227" s="28">
        <v>8709</v>
      </c>
      <c r="L227" s="39"/>
      <c r="M227" s="28">
        <f>711+8010</f>
        <v>8721</v>
      </c>
      <c r="N227" s="28">
        <v>4111</v>
      </c>
      <c r="O227" s="349">
        <f t="shared" si="50"/>
        <v>442793</v>
      </c>
      <c r="P227" s="408"/>
    </row>
    <row r="228" spans="1:16" ht="15">
      <c r="A228" s="37">
        <v>5100</v>
      </c>
      <c r="B228" s="21" t="s">
        <v>162</v>
      </c>
      <c r="C228" s="28">
        <v>51274</v>
      </c>
      <c r="D228" s="28">
        <v>1693</v>
      </c>
      <c r="E228" s="28">
        <v>2501</v>
      </c>
      <c r="F228" s="28"/>
      <c r="G228" s="28"/>
      <c r="H228" s="348">
        <v>398</v>
      </c>
      <c r="I228" s="28">
        <v>356</v>
      </c>
      <c r="J228" s="28">
        <v>213</v>
      </c>
      <c r="K228" s="28">
        <v>896</v>
      </c>
      <c r="L228" s="39"/>
      <c r="M228" s="28">
        <v>427</v>
      </c>
      <c r="N228" s="28"/>
      <c r="O228" s="349">
        <f t="shared" si="50"/>
        <v>57758</v>
      </c>
      <c r="P228" s="408"/>
    </row>
    <row r="229" spans="1:16" ht="15">
      <c r="A229" s="37">
        <v>5200</v>
      </c>
      <c r="B229" s="21" t="s">
        <v>163</v>
      </c>
      <c r="C229" s="28">
        <f>11638782+71040+100000+448016</f>
        <v>12257838</v>
      </c>
      <c r="D229" s="28">
        <v>3818356</v>
      </c>
      <c r="E229" s="28">
        <v>43581</v>
      </c>
      <c r="F229" s="28">
        <v>45376</v>
      </c>
      <c r="G229" s="28"/>
      <c r="H229" s="348">
        <f>570107+1306</f>
        <v>571413</v>
      </c>
      <c r="I229" s="28">
        <f>307929-1306</f>
        <v>306623</v>
      </c>
      <c r="J229" s="28">
        <v>8537</v>
      </c>
      <c r="K229" s="28">
        <f>80296+1309</f>
        <v>81605</v>
      </c>
      <c r="L229" s="39">
        <f>3514-1309</f>
        <v>2205</v>
      </c>
      <c r="M229" s="28">
        <f>1651+8208+1565</f>
        <v>11424</v>
      </c>
      <c r="N229" s="28">
        <f>20631-1565</f>
        <v>19066</v>
      </c>
      <c r="O229" s="349">
        <f t="shared" si="50"/>
        <v>17166024</v>
      </c>
      <c r="P229" s="408"/>
    </row>
    <row r="230" spans="1:16" ht="15">
      <c r="A230" s="37">
        <v>6200</v>
      </c>
      <c r="B230" s="21" t="s">
        <v>164</v>
      </c>
      <c r="C230" s="28">
        <v>322271</v>
      </c>
      <c r="D230" s="28"/>
      <c r="E230" s="28"/>
      <c r="F230" s="28"/>
      <c r="G230" s="28"/>
      <c r="H230" s="348">
        <v>38111</v>
      </c>
      <c r="I230" s="28">
        <v>21214</v>
      </c>
      <c r="J230" s="28">
        <v>18490</v>
      </c>
      <c r="K230" s="28">
        <v>21457</v>
      </c>
      <c r="L230" s="39">
        <v>15097</v>
      </c>
      <c r="M230" s="28">
        <f>20229+21998</f>
        <v>42227</v>
      </c>
      <c r="N230" s="28">
        <v>16484</v>
      </c>
      <c r="O230" s="349">
        <f t="shared" si="50"/>
        <v>495351</v>
      </c>
      <c r="P230" s="408"/>
    </row>
    <row r="231" spans="1:16" ht="15">
      <c r="A231" s="37">
        <v>6300</v>
      </c>
      <c r="B231" s="21" t="s">
        <v>199</v>
      </c>
      <c r="C231" s="28">
        <v>542114</v>
      </c>
      <c r="D231" s="28"/>
      <c r="E231" s="28"/>
      <c r="F231" s="28"/>
      <c r="G231" s="28"/>
      <c r="H231" s="348">
        <v>9960</v>
      </c>
      <c r="I231" s="28">
        <v>2277</v>
      </c>
      <c r="J231" s="28">
        <v>4696</v>
      </c>
      <c r="K231" s="28">
        <v>19325</v>
      </c>
      <c r="L231" s="39">
        <v>1793</v>
      </c>
      <c r="M231" s="28">
        <f>1423+4980</f>
        <v>6403</v>
      </c>
      <c r="N231" s="28">
        <v>1138</v>
      </c>
      <c r="O231" s="349">
        <f t="shared" si="50"/>
        <v>587706</v>
      </c>
      <c r="P231" s="408"/>
    </row>
    <row r="232" spans="1:16" ht="29.25">
      <c r="A232" s="37">
        <v>6400</v>
      </c>
      <c r="B232" s="21" t="s">
        <v>359</v>
      </c>
      <c r="C232" s="28">
        <v>150824</v>
      </c>
      <c r="D232" s="28"/>
      <c r="E232" s="28"/>
      <c r="F232" s="28"/>
      <c r="G232" s="28"/>
      <c r="H232" s="348">
        <v>13944</v>
      </c>
      <c r="I232" s="28">
        <v>17074</v>
      </c>
      <c r="J232" s="28"/>
      <c r="K232" s="28">
        <v>3970</v>
      </c>
      <c r="L232" s="39">
        <v>5440</v>
      </c>
      <c r="M232" s="28">
        <f>2277+7822</f>
        <v>10099</v>
      </c>
      <c r="N232" s="28">
        <v>5976</v>
      </c>
      <c r="O232" s="349">
        <f t="shared" si="50"/>
        <v>207327</v>
      </c>
      <c r="P232" s="408"/>
    </row>
    <row r="233" spans="1:16" ht="29.25">
      <c r="A233" s="37">
        <v>7200</v>
      </c>
      <c r="B233" s="21" t="s">
        <v>262</v>
      </c>
      <c r="C233" s="28">
        <v>597606</v>
      </c>
      <c r="D233" s="28"/>
      <c r="E233" s="28"/>
      <c r="F233" s="28"/>
      <c r="G233" s="28"/>
      <c r="H233" s="348"/>
      <c r="I233" s="28"/>
      <c r="J233" s="28"/>
      <c r="K233" s="28">
        <v>3984</v>
      </c>
      <c r="L233" s="39"/>
      <c r="M233" s="28"/>
      <c r="N233" s="28"/>
      <c r="O233" s="349">
        <f t="shared" si="50"/>
        <v>601590</v>
      </c>
      <c r="P233" s="408"/>
    </row>
    <row r="234" spans="1:16" ht="15">
      <c r="A234" s="37">
        <v>8100</v>
      </c>
      <c r="B234" s="28" t="s">
        <v>251</v>
      </c>
      <c r="C234" s="28"/>
      <c r="D234" s="28"/>
      <c r="E234" s="28"/>
      <c r="F234" s="28"/>
      <c r="G234" s="28"/>
      <c r="H234" s="348">
        <v>256</v>
      </c>
      <c r="I234" s="28"/>
      <c r="J234" s="28"/>
      <c r="K234" s="28"/>
      <c r="L234" s="39"/>
      <c r="M234" s="28"/>
      <c r="N234" s="28"/>
      <c r="O234" s="349">
        <f t="shared" si="50"/>
        <v>256</v>
      </c>
      <c r="P234" s="408"/>
    </row>
    <row r="235" spans="1:16" ht="30" thickBot="1">
      <c r="A235" s="371">
        <v>9000</v>
      </c>
      <c r="B235" s="372" t="s">
        <v>376</v>
      </c>
      <c r="C235" s="373">
        <v>1501</v>
      </c>
      <c r="D235" s="373"/>
      <c r="E235" s="373"/>
      <c r="F235" s="373"/>
      <c r="G235" s="373"/>
      <c r="H235" s="374"/>
      <c r="I235" s="373"/>
      <c r="J235" s="373"/>
      <c r="K235" s="412"/>
      <c r="L235" s="410"/>
      <c r="M235" s="373"/>
      <c r="N235" s="373"/>
      <c r="O235" s="349">
        <f t="shared" si="50"/>
        <v>1501</v>
      </c>
      <c r="P235" s="408"/>
    </row>
    <row r="236" spans="1:16" ht="15.75" thickBot="1">
      <c r="A236" s="133"/>
      <c r="B236" s="350" t="s">
        <v>165</v>
      </c>
      <c r="C236" s="352">
        <f aca="true" t="shared" si="52" ref="C236:N236">SUM(C216:C218,C225:C235)</f>
        <v>31071178</v>
      </c>
      <c r="D236" s="352">
        <f t="shared" si="52"/>
        <v>16270992</v>
      </c>
      <c r="E236" s="352">
        <f>SUM(E216:E218,E225:E235)</f>
        <v>1343572</v>
      </c>
      <c r="F236" s="352">
        <f t="shared" si="52"/>
        <v>571995</v>
      </c>
      <c r="G236" s="352">
        <f t="shared" si="52"/>
        <v>0</v>
      </c>
      <c r="H236" s="352">
        <f t="shared" si="52"/>
        <v>2495124</v>
      </c>
      <c r="I236" s="352">
        <f t="shared" si="52"/>
        <v>915372</v>
      </c>
      <c r="J236" s="352">
        <f>SUM(J216:J218,J225:J235)</f>
        <v>738104</v>
      </c>
      <c r="K236" s="413">
        <f t="shared" si="52"/>
        <v>2409236</v>
      </c>
      <c r="L236" s="411">
        <f t="shared" si="52"/>
        <v>196633</v>
      </c>
      <c r="M236" s="352">
        <f t="shared" si="52"/>
        <v>969560</v>
      </c>
      <c r="N236" s="352">
        <f t="shared" si="52"/>
        <v>264555</v>
      </c>
      <c r="O236" s="147">
        <f t="shared" si="50"/>
        <v>57246321</v>
      </c>
      <c r="P236" s="408"/>
    </row>
    <row r="237" spans="2:7" ht="15">
      <c r="B237" s="351"/>
      <c r="C237" s="144"/>
      <c r="D237" s="141"/>
      <c r="E237" s="76"/>
      <c r="F237" s="76"/>
      <c r="G237" s="76"/>
    </row>
    <row r="238" spans="2:15" ht="15">
      <c r="B238" s="351"/>
      <c r="C238" s="144"/>
      <c r="D238" s="141"/>
      <c r="E238" s="76"/>
      <c r="F238" s="76"/>
      <c r="G238" s="76"/>
      <c r="O238" s="138"/>
    </row>
    <row r="239" spans="2:7" ht="15">
      <c r="B239" s="75" t="s">
        <v>18</v>
      </c>
      <c r="C239" s="144"/>
      <c r="D239" s="141"/>
      <c r="E239" s="76" t="s">
        <v>19</v>
      </c>
      <c r="F239" s="76"/>
      <c r="G239" s="76"/>
    </row>
    <row r="244" ht="15">
      <c r="B244" s="75"/>
    </row>
  </sheetData>
  <sheetProtection/>
  <mergeCells count="3">
    <mergeCell ref="A215:D215"/>
    <mergeCell ref="A52:D52"/>
    <mergeCell ref="A5:F5"/>
  </mergeCells>
  <printOptions/>
  <pageMargins left="0.4330708661417323" right="0.35433070866141736" top="0.7874015748031497" bottom="0.5905511811023623" header="0.5118110236220472" footer="0.5118110236220472"/>
  <pageSetup fitToHeight="0" fitToWidth="1" horizontalDpi="600" verticalDpi="600" orientation="landscape" paperSize="9" scale="72" r:id="rId1"/>
  <rowBreaks count="2" manualBreakCount="2">
    <brk id="47" max="255" man="1"/>
    <brk id="2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PageLayoutView="0" workbookViewId="0" topLeftCell="A42">
      <selection activeCell="A1" sqref="A1"/>
    </sheetView>
  </sheetViews>
  <sheetFormatPr defaultColWidth="9.140625" defaultRowHeight="12.75"/>
  <cols>
    <col min="1" max="1" width="9.00390625" style="150" customWidth="1"/>
    <col min="2" max="2" width="36.57421875" style="151" customWidth="1"/>
    <col min="3" max="3" width="9.140625" style="150" hidden="1" customWidth="1"/>
    <col min="4" max="4" width="11.00390625" style="150" customWidth="1"/>
    <col min="5" max="7" width="9.7109375" style="150" customWidth="1"/>
    <col min="8" max="8" width="10.7109375" style="150" customWidth="1"/>
    <col min="9" max="10" width="9.7109375" style="150" bestFit="1" customWidth="1"/>
    <col min="11" max="11" width="11.8515625" style="150" customWidth="1"/>
    <col min="12" max="12" width="12.7109375" style="153" customWidth="1"/>
    <col min="13" max="13" width="10.57421875" style="150" customWidth="1"/>
    <col min="14" max="16384" width="9.140625" style="150" customWidth="1"/>
  </cols>
  <sheetData>
    <row r="1" spans="5:10" ht="15">
      <c r="E1" s="4"/>
      <c r="F1" s="152"/>
      <c r="H1" s="4" t="s">
        <v>464</v>
      </c>
      <c r="J1" s="152"/>
    </row>
    <row r="2" spans="1:8" ht="15">
      <c r="A2" s="154"/>
      <c r="E2" s="154"/>
      <c r="H2" s="6" t="s">
        <v>461</v>
      </c>
    </row>
    <row r="3" spans="1:8" ht="15">
      <c r="A3" s="154"/>
      <c r="E3" s="154"/>
      <c r="H3" s="6" t="s">
        <v>462</v>
      </c>
    </row>
    <row r="4" spans="1:11" ht="20.25">
      <c r="A4" s="155" t="s">
        <v>420</v>
      </c>
      <c r="B4" s="155"/>
      <c r="C4" s="155"/>
      <c r="D4" s="155"/>
      <c r="J4" s="156"/>
      <c r="K4" s="156"/>
    </row>
    <row r="5" spans="1:4" ht="15.75" thickBot="1">
      <c r="A5" s="154"/>
      <c r="B5" s="157"/>
      <c r="C5" s="154"/>
      <c r="D5" s="154"/>
    </row>
    <row r="6" spans="1:14" ht="87.75" customHeight="1" thickBot="1">
      <c r="A6" s="158" t="s">
        <v>1</v>
      </c>
      <c r="B6" s="159" t="s">
        <v>200</v>
      </c>
      <c r="C6" s="160" t="s">
        <v>23</v>
      </c>
      <c r="D6" s="10" t="s">
        <v>381</v>
      </c>
      <c r="E6" s="13" t="s">
        <v>386</v>
      </c>
      <c r="F6" s="14" t="s">
        <v>387</v>
      </c>
      <c r="G6" s="297" t="s">
        <v>388</v>
      </c>
      <c r="H6" s="297" t="s">
        <v>389</v>
      </c>
      <c r="I6" s="297" t="s">
        <v>390</v>
      </c>
      <c r="J6" s="297" t="s">
        <v>391</v>
      </c>
      <c r="K6" s="297" t="s">
        <v>455</v>
      </c>
      <c r="L6" s="15" t="s">
        <v>392</v>
      </c>
      <c r="M6" s="407"/>
      <c r="N6" s="407"/>
    </row>
    <row r="7" spans="1:14" ht="15">
      <c r="A7" s="161"/>
      <c r="B7" s="162" t="s">
        <v>24</v>
      </c>
      <c r="C7" s="163" t="e">
        <f>C8+#REF!+#REF!+#REF!</f>
        <v>#REF!</v>
      </c>
      <c r="D7" s="163">
        <f>D8</f>
        <v>70100</v>
      </c>
      <c r="E7" s="163">
        <f aca="true" t="shared" si="0" ref="E7:K7">E8</f>
        <v>4818</v>
      </c>
      <c r="F7" s="163">
        <f t="shared" si="0"/>
        <v>5691</v>
      </c>
      <c r="G7" s="163">
        <f t="shared" si="0"/>
        <v>4269</v>
      </c>
      <c r="H7" s="163">
        <f t="shared" si="0"/>
        <v>5000</v>
      </c>
      <c r="I7" s="163">
        <f t="shared" si="0"/>
        <v>4269</v>
      </c>
      <c r="J7" s="163">
        <f t="shared" si="0"/>
        <v>200</v>
      </c>
      <c r="K7" s="163">
        <f t="shared" si="0"/>
        <v>1850</v>
      </c>
      <c r="L7" s="164">
        <f aca="true" t="shared" si="1" ref="L7:L18">SUM(D7:K7)</f>
        <v>96197</v>
      </c>
      <c r="M7" s="165"/>
      <c r="N7" s="202"/>
    </row>
    <row r="8" spans="1:14" ht="14.25">
      <c r="A8" s="166" t="s">
        <v>201</v>
      </c>
      <c r="B8" s="167" t="s">
        <v>202</v>
      </c>
      <c r="C8" s="168" t="e">
        <f>SUM(#REF!)</f>
        <v>#REF!</v>
      </c>
      <c r="D8" s="168">
        <v>70100</v>
      </c>
      <c r="E8" s="168">
        <v>4818</v>
      </c>
      <c r="F8" s="168">
        <v>5691</v>
      </c>
      <c r="G8" s="168">
        <v>4269</v>
      </c>
      <c r="H8" s="168">
        <v>5000</v>
      </c>
      <c r="I8" s="168">
        <v>4269</v>
      </c>
      <c r="J8" s="168">
        <v>200</v>
      </c>
      <c r="K8" s="168">
        <v>1850</v>
      </c>
      <c r="L8" s="169">
        <f t="shared" si="1"/>
        <v>96197</v>
      </c>
      <c r="M8" s="165"/>
      <c r="N8" s="202"/>
    </row>
    <row r="9" spans="1:14" ht="15">
      <c r="A9" s="170"/>
      <c r="B9" s="171" t="s">
        <v>31</v>
      </c>
      <c r="C9" s="172">
        <f aca="true" t="shared" si="2" ref="C9:K9">SUM(C10:C11)</f>
        <v>0</v>
      </c>
      <c r="D9" s="172">
        <f t="shared" si="2"/>
        <v>85</v>
      </c>
      <c r="E9" s="173">
        <f t="shared" si="2"/>
        <v>0</v>
      </c>
      <c r="F9" s="173">
        <f t="shared" si="2"/>
        <v>0</v>
      </c>
      <c r="G9" s="173">
        <f t="shared" si="2"/>
        <v>0</v>
      </c>
      <c r="H9" s="173">
        <f t="shared" si="2"/>
        <v>0</v>
      </c>
      <c r="I9" s="173">
        <f t="shared" si="2"/>
        <v>7826</v>
      </c>
      <c r="J9" s="172">
        <f t="shared" si="2"/>
        <v>0</v>
      </c>
      <c r="K9" s="173">
        <f t="shared" si="2"/>
        <v>0</v>
      </c>
      <c r="L9" s="164">
        <f t="shared" si="1"/>
        <v>7911</v>
      </c>
      <c r="M9" s="165"/>
      <c r="N9" s="202"/>
    </row>
    <row r="10" spans="1:14" ht="28.5">
      <c r="A10" s="166" t="s">
        <v>32</v>
      </c>
      <c r="B10" s="167" t="s">
        <v>173</v>
      </c>
      <c r="C10" s="168"/>
      <c r="D10" s="168">
        <v>85</v>
      </c>
      <c r="E10" s="174"/>
      <c r="F10" s="175"/>
      <c r="G10" s="176"/>
      <c r="H10" s="176"/>
      <c r="I10" s="176"/>
      <c r="J10" s="176"/>
      <c r="K10" s="177"/>
      <c r="L10" s="169">
        <f>SUM(D10:K10)</f>
        <v>85</v>
      </c>
      <c r="M10" s="165"/>
      <c r="N10" s="202"/>
    </row>
    <row r="11" spans="1:14" ht="15">
      <c r="A11" s="166" t="s">
        <v>203</v>
      </c>
      <c r="B11" s="167" t="s">
        <v>204</v>
      </c>
      <c r="C11" s="172"/>
      <c r="D11" s="168"/>
      <c r="E11" s="174"/>
      <c r="F11" s="175"/>
      <c r="G11" s="176"/>
      <c r="H11" s="176"/>
      <c r="I11" s="176">
        <v>7826</v>
      </c>
      <c r="J11" s="176"/>
      <c r="K11" s="177"/>
      <c r="L11" s="169">
        <f t="shared" si="1"/>
        <v>7826</v>
      </c>
      <c r="M11" s="165"/>
      <c r="N11" s="202"/>
    </row>
    <row r="12" spans="1:14" s="153" customFormat="1" ht="45">
      <c r="A12" s="178" t="s">
        <v>377</v>
      </c>
      <c r="B12" s="179" t="s">
        <v>378</v>
      </c>
      <c r="C12" s="180"/>
      <c r="D12" s="180">
        <v>780022</v>
      </c>
      <c r="E12" s="181"/>
      <c r="F12" s="182"/>
      <c r="G12" s="183"/>
      <c r="H12" s="184"/>
      <c r="I12" s="183"/>
      <c r="J12" s="184"/>
      <c r="K12" s="183"/>
      <c r="L12" s="164">
        <f t="shared" si="1"/>
        <v>780022</v>
      </c>
      <c r="M12" s="165"/>
      <c r="N12" s="202"/>
    </row>
    <row r="13" spans="1:14" ht="15">
      <c r="A13" s="185" t="s">
        <v>40</v>
      </c>
      <c r="B13" s="171" t="s">
        <v>41</v>
      </c>
      <c r="C13" s="172" t="e">
        <f>SUM(#REF!,C14+#REF!)</f>
        <v>#REF!</v>
      </c>
      <c r="D13" s="172">
        <f aca="true" t="shared" si="3" ref="D13:K13">SUM(D14)</f>
        <v>0</v>
      </c>
      <c r="E13" s="172">
        <f t="shared" si="3"/>
        <v>1289</v>
      </c>
      <c r="F13" s="172">
        <f t="shared" si="3"/>
        <v>0</v>
      </c>
      <c r="G13" s="172">
        <f t="shared" si="3"/>
        <v>0</v>
      </c>
      <c r="H13" s="172">
        <f t="shared" si="3"/>
        <v>0</v>
      </c>
      <c r="I13" s="172">
        <f t="shared" si="3"/>
        <v>0</v>
      </c>
      <c r="J13" s="172">
        <f t="shared" si="3"/>
        <v>0</v>
      </c>
      <c r="K13" s="172">
        <f t="shared" si="3"/>
        <v>0</v>
      </c>
      <c r="L13" s="164">
        <f t="shared" si="1"/>
        <v>1289</v>
      </c>
      <c r="M13" s="165"/>
      <c r="N13" s="202"/>
    </row>
    <row r="14" spans="1:14" ht="60">
      <c r="A14" s="185" t="s">
        <v>20</v>
      </c>
      <c r="B14" s="32" t="s">
        <v>256</v>
      </c>
      <c r="C14" s="173">
        <f aca="true" t="shared" si="4" ref="C14:K14">SUM(C15:C15)</f>
        <v>0</v>
      </c>
      <c r="D14" s="172">
        <f t="shared" si="4"/>
        <v>0</v>
      </c>
      <c r="E14" s="172">
        <f t="shared" si="4"/>
        <v>1289</v>
      </c>
      <c r="F14" s="172">
        <f t="shared" si="4"/>
        <v>0</v>
      </c>
      <c r="G14" s="172">
        <f t="shared" si="4"/>
        <v>0</v>
      </c>
      <c r="H14" s="172">
        <f t="shared" si="4"/>
        <v>0</v>
      </c>
      <c r="I14" s="172">
        <f t="shared" si="4"/>
        <v>0</v>
      </c>
      <c r="J14" s="172">
        <f t="shared" si="4"/>
        <v>0</v>
      </c>
      <c r="K14" s="172">
        <f t="shared" si="4"/>
        <v>0</v>
      </c>
      <c r="L14" s="164">
        <f t="shared" si="1"/>
        <v>1289</v>
      </c>
      <c r="M14" s="165"/>
      <c r="N14" s="202"/>
    </row>
    <row r="15" spans="1:14" ht="29.25" thickBot="1">
      <c r="A15" s="186" t="s">
        <v>44</v>
      </c>
      <c r="B15" s="167" t="s">
        <v>45</v>
      </c>
      <c r="C15" s="168"/>
      <c r="D15" s="168"/>
      <c r="E15" s="174">
        <v>1289</v>
      </c>
      <c r="F15" s="187"/>
      <c r="G15" s="176"/>
      <c r="H15" s="176"/>
      <c r="I15" s="176"/>
      <c r="J15" s="176"/>
      <c r="K15" s="177"/>
      <c r="L15" s="402">
        <f t="shared" si="1"/>
        <v>1289</v>
      </c>
      <c r="M15" s="165"/>
      <c r="N15" s="202"/>
    </row>
    <row r="16" spans="1:14" ht="18.75" customHeight="1" thickBot="1">
      <c r="A16" s="188"/>
      <c r="B16" s="189" t="s">
        <v>46</v>
      </c>
      <c r="C16" s="190" t="e">
        <f>SUM(C7+C9+#REF!+#REF!+C13)</f>
        <v>#REF!</v>
      </c>
      <c r="D16" s="191">
        <f aca="true" t="shared" si="5" ref="D16:K16">SUM(D7+D9+D12+D13)</f>
        <v>850207</v>
      </c>
      <c r="E16" s="191">
        <f t="shared" si="5"/>
        <v>6107</v>
      </c>
      <c r="F16" s="191">
        <f t="shared" si="5"/>
        <v>5691</v>
      </c>
      <c r="G16" s="191">
        <f t="shared" si="5"/>
        <v>4269</v>
      </c>
      <c r="H16" s="191">
        <f t="shared" si="5"/>
        <v>5000</v>
      </c>
      <c r="I16" s="191">
        <f t="shared" si="5"/>
        <v>12095</v>
      </c>
      <c r="J16" s="191">
        <f t="shared" si="5"/>
        <v>200</v>
      </c>
      <c r="K16" s="191">
        <f t="shared" si="5"/>
        <v>1850</v>
      </c>
      <c r="L16" s="192">
        <f t="shared" si="1"/>
        <v>885419</v>
      </c>
      <c r="M16" s="165"/>
      <c r="N16" s="202"/>
    </row>
    <row r="17" spans="1:12" ht="14.25">
      <c r="A17" s="193" t="s">
        <v>205</v>
      </c>
      <c r="B17" s="194" t="s">
        <v>407</v>
      </c>
      <c r="C17" s="195"/>
      <c r="D17" s="196">
        <v>45942</v>
      </c>
      <c r="E17" s="196">
        <v>23435</v>
      </c>
      <c r="F17" s="196">
        <v>6272</v>
      </c>
      <c r="G17" s="196">
        <v>4863</v>
      </c>
      <c r="H17" s="196">
        <v>21293</v>
      </c>
      <c r="I17" s="196">
        <v>38964</v>
      </c>
      <c r="J17" s="196">
        <v>1736</v>
      </c>
      <c r="K17" s="196">
        <v>22259</v>
      </c>
      <c r="L17" s="169">
        <f t="shared" si="1"/>
        <v>164764</v>
      </c>
    </row>
    <row r="18" spans="1:12" ht="15">
      <c r="A18" s="197"/>
      <c r="B18" s="198" t="s">
        <v>48</v>
      </c>
      <c r="C18" s="199">
        <f>SUM(C17:C17)</f>
        <v>0</v>
      </c>
      <c r="D18" s="200">
        <f aca="true" t="shared" si="6" ref="D18:K18">SUM(D16:D17)</f>
        <v>896149</v>
      </c>
      <c r="E18" s="200">
        <f t="shared" si="6"/>
        <v>29542</v>
      </c>
      <c r="F18" s="200">
        <f t="shared" si="6"/>
        <v>11963</v>
      </c>
      <c r="G18" s="200">
        <f t="shared" si="6"/>
        <v>9132</v>
      </c>
      <c r="H18" s="200">
        <f t="shared" si="6"/>
        <v>26293</v>
      </c>
      <c r="I18" s="200">
        <f t="shared" si="6"/>
        <v>51059</v>
      </c>
      <c r="J18" s="200">
        <f t="shared" si="6"/>
        <v>1936</v>
      </c>
      <c r="K18" s="200">
        <f t="shared" si="6"/>
        <v>24109</v>
      </c>
      <c r="L18" s="164">
        <f t="shared" si="1"/>
        <v>1050183</v>
      </c>
    </row>
    <row r="19" spans="2:6" ht="15">
      <c r="B19" s="201"/>
      <c r="C19" s="202"/>
      <c r="F19" s="203"/>
    </row>
    <row r="20" spans="2:6" ht="29.25">
      <c r="B20" s="201" t="s">
        <v>18</v>
      </c>
      <c r="C20" s="202" t="s">
        <v>19</v>
      </c>
      <c r="F20" s="203" t="s">
        <v>19</v>
      </c>
    </row>
    <row r="21" spans="1:8" ht="46.5" customHeight="1" thickBot="1">
      <c r="A21" s="421" t="s">
        <v>421</v>
      </c>
      <c r="B21" s="421"/>
      <c r="C21" s="421"/>
      <c r="D21" s="421"/>
      <c r="E21" s="421"/>
      <c r="F21" s="421"/>
      <c r="G21" s="421"/>
      <c r="H21" s="421"/>
    </row>
    <row r="22" spans="1:14" ht="92.25" customHeight="1" thickBot="1">
      <c r="A22" s="158" t="s">
        <v>1</v>
      </c>
      <c r="B22" s="159" t="s">
        <v>200</v>
      </c>
      <c r="C22" s="160" t="s">
        <v>23</v>
      </c>
      <c r="D22" s="10" t="s">
        <v>381</v>
      </c>
      <c r="E22" s="13" t="s">
        <v>386</v>
      </c>
      <c r="F22" s="14" t="s">
        <v>387</v>
      </c>
      <c r="G22" s="297" t="s">
        <v>388</v>
      </c>
      <c r="H22" s="297" t="s">
        <v>389</v>
      </c>
      <c r="I22" s="297" t="s">
        <v>390</v>
      </c>
      <c r="J22" s="297" t="s">
        <v>391</v>
      </c>
      <c r="K22" s="297" t="s">
        <v>455</v>
      </c>
      <c r="L22" s="15" t="s">
        <v>392</v>
      </c>
      <c r="M22" s="407"/>
      <c r="N22" s="407"/>
    </row>
    <row r="23" spans="1:12" ht="15.75" thickBot="1">
      <c r="A23" s="204" t="s">
        <v>49</v>
      </c>
      <c r="B23" s="205" t="s">
        <v>50</v>
      </c>
      <c r="C23" s="206" t="e">
        <f>#REF!+#REF!+#REF!+#REF!</f>
        <v>#REF!</v>
      </c>
      <c r="D23" s="207"/>
      <c r="E23" s="207"/>
      <c r="F23" s="207"/>
      <c r="G23" s="207"/>
      <c r="H23" s="207"/>
      <c r="I23" s="207"/>
      <c r="J23" s="207"/>
      <c r="K23" s="207"/>
      <c r="L23" s="192">
        <f aca="true" t="shared" si="7" ref="L23:L29">SUM(D23:K23)</f>
        <v>0</v>
      </c>
    </row>
    <row r="24" spans="1:14" ht="15.75" thickBot="1">
      <c r="A24" s="208" t="s">
        <v>10</v>
      </c>
      <c r="B24" s="205" t="s">
        <v>61</v>
      </c>
      <c r="C24" s="207" t="e">
        <f>SUM(#REF!,#REF!,#REF!,#REF!)</f>
        <v>#REF!</v>
      </c>
      <c r="D24" s="207">
        <v>477097</v>
      </c>
      <c r="E24" s="207">
        <v>50320</v>
      </c>
      <c r="F24" s="207">
        <v>34070</v>
      </c>
      <c r="G24" s="399">
        <v>36801</v>
      </c>
      <c r="H24" s="207">
        <v>57106</v>
      </c>
      <c r="I24" s="207">
        <v>32726</v>
      </c>
      <c r="J24" s="207">
        <v>26200</v>
      </c>
      <c r="K24" s="207">
        <v>74759</v>
      </c>
      <c r="L24" s="192">
        <f t="shared" si="7"/>
        <v>789079</v>
      </c>
      <c r="M24" s="165"/>
      <c r="N24" s="202"/>
    </row>
    <row r="25" spans="1:14" ht="15.75" thickBot="1">
      <c r="A25" s="208" t="s">
        <v>13</v>
      </c>
      <c r="B25" s="209" t="s">
        <v>69</v>
      </c>
      <c r="C25" s="206" t="e">
        <f>#REF!+#REF!+#REF!</f>
        <v>#REF!</v>
      </c>
      <c r="D25" s="207">
        <v>78113</v>
      </c>
      <c r="E25" s="207">
        <v>15435</v>
      </c>
      <c r="F25" s="207">
        <v>11963</v>
      </c>
      <c r="G25" s="400"/>
      <c r="H25" s="207">
        <v>26288</v>
      </c>
      <c r="I25" s="207"/>
      <c r="J25" s="207"/>
      <c r="K25" s="207">
        <v>13833</v>
      </c>
      <c r="L25" s="192">
        <f>SUM(D25:K25)</f>
        <v>145632</v>
      </c>
      <c r="M25" s="165"/>
      <c r="N25" s="202"/>
    </row>
    <row r="26" spans="1:14" ht="30.75" thickBot="1">
      <c r="A26" s="208" t="s">
        <v>14</v>
      </c>
      <c r="B26" s="209" t="s">
        <v>74</v>
      </c>
      <c r="C26" s="206" t="e">
        <f>SUM(#REF!)</f>
        <v>#REF!</v>
      </c>
      <c r="D26" s="207"/>
      <c r="E26" s="207">
        <v>8180</v>
      </c>
      <c r="F26" s="207">
        <v>313</v>
      </c>
      <c r="G26" s="399">
        <v>8537</v>
      </c>
      <c r="H26" s="207">
        <v>800</v>
      </c>
      <c r="I26" s="207"/>
      <c r="J26" s="207"/>
      <c r="K26" s="207"/>
      <c r="L26" s="192">
        <f t="shared" si="7"/>
        <v>17830</v>
      </c>
      <c r="M26" s="165"/>
      <c r="N26" s="202"/>
    </row>
    <row r="27" spans="1:14" ht="15.75" thickBot="1">
      <c r="A27" s="210"/>
      <c r="B27" s="211" t="s">
        <v>16</v>
      </c>
      <c r="C27" s="206" t="e">
        <f>C23+#REF!+C24+C25+C26+#REF!+#REF!+#REF!+#REF!</f>
        <v>#REF!</v>
      </c>
      <c r="D27" s="207">
        <f>SUM(D23:D26)</f>
        <v>555210</v>
      </c>
      <c r="E27" s="207">
        <f>SUM(E23:E26)</f>
        <v>73935</v>
      </c>
      <c r="F27" s="207">
        <f aca="true" t="shared" si="8" ref="F27:K27">SUM(F23:F26)</f>
        <v>46346</v>
      </c>
      <c r="G27" s="207">
        <f t="shared" si="8"/>
        <v>45338</v>
      </c>
      <c r="H27" s="207">
        <f t="shared" si="8"/>
        <v>84194</v>
      </c>
      <c r="I27" s="207">
        <f t="shared" si="8"/>
        <v>32726</v>
      </c>
      <c r="J27" s="207">
        <f t="shared" si="8"/>
        <v>26200</v>
      </c>
      <c r="K27" s="207">
        <f t="shared" si="8"/>
        <v>88592</v>
      </c>
      <c r="L27" s="192">
        <f t="shared" si="7"/>
        <v>952541</v>
      </c>
      <c r="M27" s="165"/>
      <c r="N27" s="202"/>
    </row>
    <row r="28" spans="1:12" ht="15">
      <c r="A28" s="212" t="s">
        <v>206</v>
      </c>
      <c r="B28" s="213" t="s">
        <v>17</v>
      </c>
      <c r="C28" s="214"/>
      <c r="D28" s="215"/>
      <c r="E28" s="216"/>
      <c r="L28" s="217">
        <f t="shared" si="7"/>
        <v>0</v>
      </c>
    </row>
    <row r="29" spans="1:12" ht="15">
      <c r="A29" s="150" t="s">
        <v>205</v>
      </c>
      <c r="B29" s="218" t="s">
        <v>207</v>
      </c>
      <c r="C29" s="219" t="str">
        <f>'[1]Budžets'!$H$436</f>
        <v>S.Velberga</v>
      </c>
      <c r="D29" s="202">
        <v>37979</v>
      </c>
      <c r="E29" s="150">
        <v>4500</v>
      </c>
      <c r="G29" s="150">
        <v>595</v>
      </c>
      <c r="I29" s="150">
        <v>42835</v>
      </c>
      <c r="J29" s="150">
        <v>1768</v>
      </c>
      <c r="K29" s="150">
        <v>9965</v>
      </c>
      <c r="L29" s="217">
        <f t="shared" si="7"/>
        <v>97642</v>
      </c>
    </row>
    <row r="30" spans="2:12" ht="15">
      <c r="B30" s="218"/>
      <c r="C30" s="219"/>
      <c r="D30" s="202"/>
      <c r="L30" s="217"/>
    </row>
    <row r="31" spans="1:12" ht="29.25">
      <c r="A31" s="366" t="s">
        <v>356</v>
      </c>
      <c r="B31" s="365" t="s">
        <v>261</v>
      </c>
      <c r="C31" s="214"/>
      <c r="D31" s="220">
        <f aca="true" t="shared" si="9" ref="D31:L31">D18-D29-D27-D28</f>
        <v>302960</v>
      </c>
      <c r="E31" s="220">
        <f t="shared" si="9"/>
        <v>-48893</v>
      </c>
      <c r="F31" s="220">
        <f t="shared" si="9"/>
        <v>-34383</v>
      </c>
      <c r="G31" s="220">
        <f t="shared" si="9"/>
        <v>-36801</v>
      </c>
      <c r="H31" s="220">
        <f t="shared" si="9"/>
        <v>-57901</v>
      </c>
      <c r="I31" s="220">
        <f t="shared" si="9"/>
        <v>-24502</v>
      </c>
      <c r="J31" s="220">
        <f t="shared" si="9"/>
        <v>-26032</v>
      </c>
      <c r="K31" s="220">
        <f t="shared" si="9"/>
        <v>-74448</v>
      </c>
      <c r="L31" s="220">
        <f t="shared" si="9"/>
        <v>0</v>
      </c>
    </row>
    <row r="32" spans="2:6" ht="54" customHeight="1">
      <c r="B32" s="201" t="s">
        <v>18</v>
      </c>
      <c r="C32" s="202" t="s">
        <v>19</v>
      </c>
      <c r="F32" s="203" t="s">
        <v>19</v>
      </c>
    </row>
    <row r="33" spans="2:3" ht="15">
      <c r="B33" s="201"/>
      <c r="C33" s="202"/>
    </row>
    <row r="34" spans="1:7" ht="51.75" customHeight="1" thickBot="1">
      <c r="A34" s="420" t="s">
        <v>419</v>
      </c>
      <c r="B34" s="420"/>
      <c r="C34" s="420"/>
      <c r="D34" s="420"/>
      <c r="E34" s="420"/>
      <c r="F34" s="420"/>
      <c r="G34" s="420"/>
    </row>
    <row r="35" spans="1:14" ht="105.75" thickBot="1">
      <c r="A35" s="158" t="s">
        <v>1</v>
      </c>
      <c r="B35" s="159" t="s">
        <v>200</v>
      </c>
      <c r="C35" s="160" t="s">
        <v>23</v>
      </c>
      <c r="D35" s="10" t="s">
        <v>381</v>
      </c>
      <c r="E35" s="13" t="s">
        <v>386</v>
      </c>
      <c r="F35" s="14" t="s">
        <v>387</v>
      </c>
      <c r="G35" s="297" t="s">
        <v>388</v>
      </c>
      <c r="H35" s="297" t="s">
        <v>389</v>
      </c>
      <c r="I35" s="297" t="s">
        <v>390</v>
      </c>
      <c r="J35" s="297" t="s">
        <v>391</v>
      </c>
      <c r="K35" s="297" t="s">
        <v>455</v>
      </c>
      <c r="L35" s="15" t="s">
        <v>392</v>
      </c>
      <c r="M35" s="407"/>
      <c r="N35" s="407"/>
    </row>
    <row r="36" spans="1:14" ht="15">
      <c r="A36" s="221">
        <v>1100</v>
      </c>
      <c r="B36" s="222" t="s">
        <v>153</v>
      </c>
      <c r="C36" s="223" t="e">
        <f>SUM(#REF!+#REF!+#REF!+#REF!)</f>
        <v>#REF!</v>
      </c>
      <c r="D36" s="224">
        <v>7500</v>
      </c>
      <c r="E36" s="224">
        <v>9728</v>
      </c>
      <c r="F36" s="224">
        <v>1422</v>
      </c>
      <c r="G36" s="224">
        <v>9244</v>
      </c>
      <c r="H36" s="224"/>
      <c r="I36" s="224"/>
      <c r="J36" s="224">
        <v>5690</v>
      </c>
      <c r="K36" s="225">
        <v>19960</v>
      </c>
      <c r="L36" s="226">
        <f>SUM(D36:K36)</f>
        <v>53544</v>
      </c>
      <c r="M36" s="165"/>
      <c r="N36" s="202"/>
    </row>
    <row r="37" spans="1:14" ht="60.75" thickBot="1">
      <c r="A37" s="227">
        <v>1200</v>
      </c>
      <c r="B37" s="228" t="s">
        <v>154</v>
      </c>
      <c r="C37" s="229" t="e">
        <f>SUM(#REF!+#REF!)</f>
        <v>#REF!</v>
      </c>
      <c r="D37" s="230">
        <v>1769</v>
      </c>
      <c r="E37" s="230">
        <v>2295</v>
      </c>
      <c r="F37" s="230">
        <v>336</v>
      </c>
      <c r="G37" s="230">
        <v>2580</v>
      </c>
      <c r="H37" s="230"/>
      <c r="I37" s="230"/>
      <c r="J37" s="230">
        <v>2412</v>
      </c>
      <c r="K37" s="231">
        <v>4707</v>
      </c>
      <c r="L37" s="232">
        <f>SUM(D37:K37)</f>
        <v>14099</v>
      </c>
      <c r="M37" s="165"/>
      <c r="N37" s="202"/>
    </row>
    <row r="38" spans="1:14" ht="15.75" thickBot="1">
      <c r="A38" s="233">
        <v>2000</v>
      </c>
      <c r="B38" s="234" t="s">
        <v>155</v>
      </c>
      <c r="C38" s="235" t="e">
        <f>SUM(#REF!+C39+C40+C41+C42)</f>
        <v>#REF!</v>
      </c>
      <c r="D38" s="236">
        <f aca="true" t="shared" si="10" ref="D38:I38">SUM(D39+D40+D41+D42)</f>
        <v>543941</v>
      </c>
      <c r="E38" s="236">
        <f t="shared" si="10"/>
        <v>54798</v>
      </c>
      <c r="F38" s="236">
        <f t="shared" si="10"/>
        <v>37118</v>
      </c>
      <c r="G38" s="236">
        <f t="shared" si="10"/>
        <v>31380</v>
      </c>
      <c r="H38" s="236">
        <f t="shared" si="10"/>
        <v>84194</v>
      </c>
      <c r="I38" s="236">
        <f t="shared" si="10"/>
        <v>32726</v>
      </c>
      <c r="J38" s="236">
        <f>SUM(J39+J40+J41+J42)</f>
        <v>18098</v>
      </c>
      <c r="K38" s="237">
        <f>SUM(K39+K40+K41+K42)</f>
        <v>59656</v>
      </c>
      <c r="L38" s="238">
        <f>SUM(L39:L42)</f>
        <v>861911</v>
      </c>
      <c r="M38" s="165"/>
      <c r="N38" s="202"/>
    </row>
    <row r="39" spans="1:14" ht="15">
      <c r="A39" s="239">
        <v>2200</v>
      </c>
      <c r="B39" s="240" t="s">
        <v>156</v>
      </c>
      <c r="C39" s="241" t="e">
        <f>SUM(#REF!+#REF!+#REF!+#REF!+#REF!+#REF!+#REF!+#REF!)</f>
        <v>#REF!</v>
      </c>
      <c r="D39" s="241">
        <v>540941</v>
      </c>
      <c r="E39" s="241">
        <v>43488</v>
      </c>
      <c r="F39" s="241">
        <v>35190</v>
      </c>
      <c r="G39" s="241">
        <v>20632</v>
      </c>
      <c r="H39" s="241">
        <v>57689</v>
      </c>
      <c r="I39" s="241">
        <v>24189</v>
      </c>
      <c r="J39" s="241">
        <v>7298</v>
      </c>
      <c r="K39" s="242">
        <v>39427</v>
      </c>
      <c r="L39" s="243">
        <f aca="true" t="shared" si="11" ref="L39:L45">SUM(D39:K39)</f>
        <v>768854</v>
      </c>
      <c r="M39" s="165"/>
      <c r="N39" s="202"/>
    </row>
    <row r="40" spans="1:14" ht="45">
      <c r="A40" s="244">
        <v>2300</v>
      </c>
      <c r="B40" s="245" t="s">
        <v>157</v>
      </c>
      <c r="C40" s="246" t="e">
        <f>SUM(#REF!+#REF!+#REF!+#REF!+#REF!+#REF!+#REF!+#REF!)</f>
        <v>#REF!</v>
      </c>
      <c r="D40" s="247">
        <v>3000</v>
      </c>
      <c r="E40" s="247">
        <v>11310</v>
      </c>
      <c r="F40" s="247">
        <v>1928</v>
      </c>
      <c r="G40" s="247">
        <v>10748</v>
      </c>
      <c r="H40" s="247">
        <v>25005</v>
      </c>
      <c r="I40" s="247">
        <v>8537</v>
      </c>
      <c r="J40" s="247">
        <v>10800</v>
      </c>
      <c r="K40" s="248">
        <v>20229</v>
      </c>
      <c r="L40" s="249">
        <f t="shared" si="11"/>
        <v>91557</v>
      </c>
      <c r="M40" s="165"/>
      <c r="N40" s="202"/>
    </row>
    <row r="41" spans="1:14" ht="15">
      <c r="A41" s="244">
        <v>2400</v>
      </c>
      <c r="B41" s="245" t="s">
        <v>198</v>
      </c>
      <c r="C41" s="246" t="e">
        <f>SUM(#REF!)</f>
        <v>#REF!</v>
      </c>
      <c r="D41" s="247"/>
      <c r="E41" s="247"/>
      <c r="F41" s="247"/>
      <c r="G41" s="247"/>
      <c r="H41" s="247"/>
      <c r="I41" s="247"/>
      <c r="J41" s="247"/>
      <c r="K41" s="248"/>
      <c r="L41" s="250">
        <f t="shared" si="11"/>
        <v>0</v>
      </c>
      <c r="M41" s="165"/>
      <c r="N41" s="202"/>
    </row>
    <row r="42" spans="1:14" ht="30">
      <c r="A42" s="244">
        <v>2500</v>
      </c>
      <c r="B42" s="245" t="s">
        <v>158</v>
      </c>
      <c r="C42" s="246" t="e">
        <f>SUM(#REF!)</f>
        <v>#REF!</v>
      </c>
      <c r="D42" s="247"/>
      <c r="E42" s="247"/>
      <c r="F42" s="247"/>
      <c r="G42" s="247"/>
      <c r="H42" s="247">
        <v>1500</v>
      </c>
      <c r="I42" s="247"/>
      <c r="J42" s="247"/>
      <c r="K42" s="248"/>
      <c r="L42" s="250">
        <f t="shared" si="11"/>
        <v>1500</v>
      </c>
      <c r="M42" s="165"/>
      <c r="N42" s="202"/>
    </row>
    <row r="43" spans="1:14" ht="45">
      <c r="A43" s="244">
        <v>3200</v>
      </c>
      <c r="B43" s="245" t="s">
        <v>159</v>
      </c>
      <c r="C43" s="246" t="e">
        <f>SUM(#REF!)</f>
        <v>#REF!</v>
      </c>
      <c r="D43" s="247">
        <v>2000</v>
      </c>
      <c r="E43" s="247"/>
      <c r="F43" s="247"/>
      <c r="G43" s="247"/>
      <c r="H43" s="247"/>
      <c r="I43" s="247"/>
      <c r="J43" s="247"/>
      <c r="K43" s="248"/>
      <c r="L43" s="250">
        <f t="shared" si="11"/>
        <v>2000</v>
      </c>
      <c r="M43" s="165"/>
      <c r="N43" s="202"/>
    </row>
    <row r="44" spans="1:14" ht="15">
      <c r="A44" s="244">
        <v>5100</v>
      </c>
      <c r="B44" s="245" t="s">
        <v>162</v>
      </c>
      <c r="C44" s="246" t="e">
        <f>SUM(#REF!+#REF!)</f>
        <v>#REF!</v>
      </c>
      <c r="D44" s="247"/>
      <c r="E44" s="247"/>
      <c r="F44" s="247"/>
      <c r="G44" s="247"/>
      <c r="H44" s="247"/>
      <c r="I44" s="247"/>
      <c r="J44" s="247"/>
      <c r="K44" s="248"/>
      <c r="L44" s="250">
        <f>SUM(D44:K44)</f>
        <v>0</v>
      </c>
      <c r="M44" s="165"/>
      <c r="N44" s="202"/>
    </row>
    <row r="45" spans="1:14" ht="15.75" thickBot="1">
      <c r="A45" s="244">
        <v>5200</v>
      </c>
      <c r="B45" s="245" t="s">
        <v>163</v>
      </c>
      <c r="C45" s="246" t="e">
        <f>SUM(#REF!+#REF!+#REF!+#REF!)</f>
        <v>#REF!</v>
      </c>
      <c r="D45" s="247"/>
      <c r="E45" s="247">
        <v>7114</v>
      </c>
      <c r="F45" s="247">
        <v>7470</v>
      </c>
      <c r="G45" s="247">
        <v>2134</v>
      </c>
      <c r="H45" s="247"/>
      <c r="I45" s="247"/>
      <c r="J45" s="247"/>
      <c r="K45" s="248">
        <v>4269</v>
      </c>
      <c r="L45" s="250">
        <f t="shared" si="11"/>
        <v>20987</v>
      </c>
      <c r="M45" s="165"/>
      <c r="N45" s="202"/>
    </row>
    <row r="46" spans="1:14" ht="15.75" thickBot="1">
      <c r="A46" s="251"/>
      <c r="B46" s="252" t="s">
        <v>165</v>
      </c>
      <c r="C46" s="235" t="e">
        <f>SUM(C36+C37+C38+C43+#REF!+#REF!+#REF!+C44+C45+#REF!+#REF!+#REF!+#REF!)</f>
        <v>#REF!</v>
      </c>
      <c r="D46" s="236">
        <f aca="true" t="shared" si="12" ref="D46:L46">SUM(D36:D38,D43:D45)</f>
        <v>555210</v>
      </c>
      <c r="E46" s="236">
        <f t="shared" si="12"/>
        <v>73935</v>
      </c>
      <c r="F46" s="236">
        <f t="shared" si="12"/>
        <v>46346</v>
      </c>
      <c r="G46" s="236">
        <f t="shared" si="12"/>
        <v>45338</v>
      </c>
      <c r="H46" s="236">
        <f t="shared" si="12"/>
        <v>84194</v>
      </c>
      <c r="I46" s="236">
        <f t="shared" si="12"/>
        <v>32726</v>
      </c>
      <c r="J46" s="236">
        <f t="shared" si="12"/>
        <v>26200</v>
      </c>
      <c r="K46" s="237">
        <f t="shared" si="12"/>
        <v>88592</v>
      </c>
      <c r="L46" s="238">
        <f t="shared" si="12"/>
        <v>952541</v>
      </c>
      <c r="M46" s="165"/>
      <c r="N46" s="202"/>
    </row>
    <row r="47" ht="15">
      <c r="B47" s="150"/>
    </row>
    <row r="48" spans="1:5" ht="15">
      <c r="A48" s="216"/>
      <c r="B48" s="253"/>
      <c r="C48" s="214"/>
      <c r="D48" s="215"/>
      <c r="E48" s="216"/>
    </row>
    <row r="49" spans="1:6" ht="29.25">
      <c r="A49" s="216"/>
      <c r="B49" s="254" t="s">
        <v>18</v>
      </c>
      <c r="C49" s="214"/>
      <c r="D49" s="215"/>
      <c r="E49" s="216"/>
      <c r="F49" s="203" t="s">
        <v>19</v>
      </c>
    </row>
    <row r="50" ht="15">
      <c r="C50" s="255"/>
    </row>
    <row r="51" ht="15">
      <c r="C51" s="255"/>
    </row>
    <row r="52" ht="15">
      <c r="C52" s="255"/>
    </row>
    <row r="53" ht="15">
      <c r="C53" s="255"/>
    </row>
    <row r="54" ht="15">
      <c r="C54" s="255"/>
    </row>
    <row r="55" ht="15">
      <c r="C55" s="255"/>
    </row>
    <row r="56" spans="1:4" ht="15">
      <c r="A56" s="154"/>
      <c r="B56" s="157"/>
      <c r="C56" s="154"/>
      <c r="D56" s="154"/>
    </row>
    <row r="57" spans="1:5" ht="15">
      <c r="A57" s="256"/>
      <c r="B57" s="257"/>
      <c r="C57" s="258"/>
      <c r="D57" s="259"/>
      <c r="E57" s="165"/>
    </row>
    <row r="58" spans="1:4" ht="15">
      <c r="A58" s="256"/>
      <c r="B58" s="257"/>
      <c r="C58" s="260"/>
      <c r="D58" s="260"/>
    </row>
    <row r="59" spans="2:3" ht="15">
      <c r="B59" s="201"/>
      <c r="C59" s="202"/>
    </row>
    <row r="60" spans="2:3" ht="15">
      <c r="B60" s="201"/>
      <c r="C60" s="202"/>
    </row>
    <row r="61" spans="2:3" ht="15">
      <c r="B61" s="201"/>
      <c r="C61" s="202"/>
    </row>
    <row r="62" spans="1:3" ht="15">
      <c r="A62" s="256"/>
      <c r="B62" s="257"/>
      <c r="C62" s="260"/>
    </row>
    <row r="63" spans="1:3" ht="15">
      <c r="A63" s="256"/>
      <c r="B63" s="257"/>
      <c r="C63" s="154" t="s">
        <v>0</v>
      </c>
    </row>
    <row r="64" spans="1:3" ht="15">
      <c r="A64" s="261"/>
      <c r="B64" s="262"/>
      <c r="C64" s="154" t="s">
        <v>22</v>
      </c>
    </row>
    <row r="65" ht="15">
      <c r="C65" s="255"/>
    </row>
    <row r="66" ht="15">
      <c r="C66" s="255"/>
    </row>
    <row r="67" ht="15">
      <c r="C67" s="255"/>
    </row>
    <row r="68" ht="15">
      <c r="C68" s="255"/>
    </row>
    <row r="69" ht="15">
      <c r="C69" s="255"/>
    </row>
    <row r="70" ht="15">
      <c r="C70" s="255"/>
    </row>
    <row r="71" ht="15">
      <c r="C71" s="255"/>
    </row>
    <row r="72" ht="15">
      <c r="C72" s="255"/>
    </row>
    <row r="73" ht="15">
      <c r="C73" s="255"/>
    </row>
    <row r="74" ht="15">
      <c r="C74" s="255"/>
    </row>
    <row r="75" ht="15">
      <c r="C75" s="255"/>
    </row>
    <row r="76" ht="15">
      <c r="C76" s="255"/>
    </row>
    <row r="77" ht="15">
      <c r="C77" s="255"/>
    </row>
    <row r="78" ht="15">
      <c r="C78" s="255"/>
    </row>
    <row r="79" ht="15">
      <c r="C79" s="255"/>
    </row>
  </sheetData>
  <sheetProtection/>
  <mergeCells count="2">
    <mergeCell ref="A34:G34"/>
    <mergeCell ref="A21:H21"/>
  </mergeCells>
  <printOptions/>
  <pageMargins left="0.3937007874015748" right="0.35433070866141736" top="0.5905511811023623" bottom="0.5905511811023623" header="0.5118110236220472" footer="0.5118110236220472"/>
  <pageSetup fitToHeight="0" fitToWidth="1" horizontalDpi="600" verticalDpi="600" orientation="landscape" paperSize="9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5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7.421875" style="264" customWidth="1"/>
    <col min="2" max="2" width="13.7109375" style="264" customWidth="1"/>
    <col min="3" max="3" width="13.421875" style="264" customWidth="1"/>
    <col min="4" max="4" width="11.7109375" style="264" customWidth="1"/>
    <col min="5" max="5" width="13.00390625" style="264" customWidth="1"/>
    <col min="6" max="6" width="12.00390625" style="264" customWidth="1"/>
    <col min="7" max="16384" width="9.140625" style="264" customWidth="1"/>
  </cols>
  <sheetData>
    <row r="1" spans="1:5" ht="18.75" customHeight="1">
      <c r="A1" s="424" t="s">
        <v>208</v>
      </c>
      <c r="B1" s="424"/>
      <c r="C1" s="424"/>
      <c r="D1" s="424"/>
      <c r="E1" s="424"/>
    </row>
    <row r="2" spans="1:5" ht="18.75" customHeight="1">
      <c r="A2" s="424" t="s">
        <v>393</v>
      </c>
      <c r="B2" s="424"/>
      <c r="C2" s="424"/>
      <c r="D2" s="424"/>
      <c r="E2" s="424"/>
    </row>
    <row r="3" spans="1:5" ht="18.75" customHeight="1">
      <c r="A3" s="425" t="s">
        <v>209</v>
      </c>
      <c r="B3" s="425"/>
      <c r="C3" s="425"/>
      <c r="D3" s="425"/>
      <c r="E3" s="425"/>
    </row>
    <row r="4" spans="1:5" ht="36.75" customHeight="1">
      <c r="A4" s="422" t="s">
        <v>210</v>
      </c>
      <c r="B4" s="422" t="s">
        <v>211</v>
      </c>
      <c r="C4" s="422" t="s">
        <v>202</v>
      </c>
      <c r="D4" s="422" t="s">
        <v>212</v>
      </c>
      <c r="E4" s="426" t="s">
        <v>422</v>
      </c>
    </row>
    <row r="5" spans="1:5" ht="18" customHeight="1">
      <c r="A5" s="423"/>
      <c r="B5" s="423"/>
      <c r="C5" s="423"/>
      <c r="D5" s="423"/>
      <c r="E5" s="426"/>
    </row>
    <row r="6" spans="1:5" ht="18" customHeight="1">
      <c r="A6" s="265" t="s">
        <v>395</v>
      </c>
      <c r="B6" s="266">
        <v>477097</v>
      </c>
      <c r="C6" s="266">
        <v>70150</v>
      </c>
      <c r="D6" s="266"/>
      <c r="E6" s="266">
        <f aca="true" t="shared" si="0" ref="E6:E16">SUM(B6:D6)</f>
        <v>547247</v>
      </c>
    </row>
    <row r="7" spans="1:5" ht="24" customHeight="1">
      <c r="A7" s="267" t="s">
        <v>396</v>
      </c>
      <c r="B7" s="268"/>
      <c r="C7" s="269">
        <v>45942</v>
      </c>
      <c r="D7" s="268"/>
      <c r="E7" s="270">
        <f t="shared" si="0"/>
        <v>45942</v>
      </c>
    </row>
    <row r="8" spans="1:5" s="271" customFormat="1" ht="15.75">
      <c r="A8" s="265" t="s">
        <v>397</v>
      </c>
      <c r="B8" s="266">
        <f>SUM(B6:B7)</f>
        <v>477097</v>
      </c>
      <c r="C8" s="266">
        <f>SUM(C6:C7)</f>
        <v>116092</v>
      </c>
      <c r="D8" s="266">
        <f>SUM(D6:D7)</f>
        <v>0</v>
      </c>
      <c r="E8" s="266">
        <f t="shared" si="0"/>
        <v>593189</v>
      </c>
    </row>
    <row r="9" spans="1:5" ht="15.75">
      <c r="A9" s="272" t="s">
        <v>398</v>
      </c>
      <c r="B9" s="273">
        <f>SUM(B10:B16)</f>
        <v>477097</v>
      </c>
      <c r="C9" s="273">
        <f>SUM(C10:C16)</f>
        <v>78113</v>
      </c>
      <c r="D9" s="273">
        <f>SUM(D10:D16)</f>
        <v>0</v>
      </c>
      <c r="E9" s="273">
        <f t="shared" si="0"/>
        <v>555210</v>
      </c>
    </row>
    <row r="10" spans="1:5" ht="15.75">
      <c r="A10" s="274" t="s">
        <v>213</v>
      </c>
      <c r="B10" s="275">
        <v>7500</v>
      </c>
      <c r="C10" s="275"/>
      <c r="D10" s="276"/>
      <c r="E10" s="277">
        <f t="shared" si="0"/>
        <v>7500</v>
      </c>
    </row>
    <row r="11" spans="1:5" ht="15.75">
      <c r="A11" s="274" t="s">
        <v>214</v>
      </c>
      <c r="B11" s="275">
        <v>1769</v>
      </c>
      <c r="C11" s="275"/>
      <c r="D11" s="276"/>
      <c r="E11" s="277">
        <f t="shared" si="0"/>
        <v>1769</v>
      </c>
    </row>
    <row r="12" spans="1:5" ht="15.75">
      <c r="A12" s="274">
        <v>2200</v>
      </c>
      <c r="B12" s="275">
        <v>467828</v>
      </c>
      <c r="C12" s="275">
        <v>73113</v>
      </c>
      <c r="D12" s="276"/>
      <c r="E12" s="277">
        <f t="shared" si="0"/>
        <v>540941</v>
      </c>
    </row>
    <row r="13" spans="1:5" ht="15.75">
      <c r="A13" s="274">
        <v>2300</v>
      </c>
      <c r="B13" s="278"/>
      <c r="C13" s="275">
        <v>3000</v>
      </c>
      <c r="D13" s="279"/>
      <c r="E13" s="277">
        <f t="shared" si="0"/>
        <v>3000</v>
      </c>
    </row>
    <row r="14" spans="1:5" ht="15.75">
      <c r="A14" s="274">
        <v>2500</v>
      </c>
      <c r="B14" s="278"/>
      <c r="C14" s="275"/>
      <c r="D14" s="279"/>
      <c r="E14" s="277">
        <f t="shared" si="0"/>
        <v>0</v>
      </c>
    </row>
    <row r="15" spans="1:5" ht="15.75">
      <c r="A15" s="274">
        <v>3200</v>
      </c>
      <c r="B15" s="278"/>
      <c r="C15" s="275">
        <v>2000</v>
      </c>
      <c r="D15" s="279"/>
      <c r="E15" s="277">
        <f t="shared" si="0"/>
        <v>2000</v>
      </c>
    </row>
    <row r="16" spans="1:5" ht="15.75">
      <c r="A16" s="274">
        <v>5200</v>
      </c>
      <c r="B16" s="278"/>
      <c r="C16" s="278"/>
      <c r="D16" s="279"/>
      <c r="E16" s="277">
        <f t="shared" si="0"/>
        <v>0</v>
      </c>
    </row>
    <row r="17" spans="1:5" ht="15.75">
      <c r="A17" s="280" t="s">
        <v>399</v>
      </c>
      <c r="B17" s="281">
        <f>B8-B9</f>
        <v>0</v>
      </c>
      <c r="C17" s="281">
        <f>C8-C9</f>
        <v>37979</v>
      </c>
      <c r="D17" s="281">
        <f>D8-D9</f>
        <v>0</v>
      </c>
      <c r="E17" s="281">
        <f>E8-E9</f>
        <v>37979</v>
      </c>
    </row>
    <row r="21" spans="1:5" ht="15.75">
      <c r="A21" s="282" t="s">
        <v>215</v>
      </c>
      <c r="E21" s="282" t="s">
        <v>216</v>
      </c>
    </row>
    <row r="22" spans="1:5" ht="15.75">
      <c r="A22" s="282"/>
      <c r="E22" s="282"/>
    </row>
    <row r="23" spans="1:5" ht="15.75">
      <c r="A23" s="282"/>
      <c r="E23" s="282"/>
    </row>
    <row r="24" spans="1:5" ht="15.75">
      <c r="A24" s="282"/>
      <c r="E24" s="282"/>
    </row>
    <row r="25" spans="1:5" ht="15.75">
      <c r="A25" s="282"/>
      <c r="E25" s="282"/>
    </row>
    <row r="26" spans="1:5" ht="15.75">
      <c r="A26" s="282"/>
      <c r="E26" s="282"/>
    </row>
    <row r="27" spans="1:5" ht="15.75">
      <c r="A27" s="282"/>
      <c r="E27" s="282"/>
    </row>
    <row r="28" spans="1:5" ht="18.75">
      <c r="A28" s="424" t="s">
        <v>217</v>
      </c>
      <c r="B28" s="424"/>
      <c r="C28" s="424"/>
      <c r="D28" s="424"/>
      <c r="E28" s="424"/>
    </row>
    <row r="29" spans="1:5" ht="18.75">
      <c r="A29" s="424" t="s">
        <v>394</v>
      </c>
      <c r="B29" s="424"/>
      <c r="C29" s="424"/>
      <c r="D29" s="424"/>
      <c r="E29" s="424"/>
    </row>
    <row r="30" spans="1:5" ht="18.75">
      <c r="A30" s="263"/>
      <c r="B30" s="263"/>
      <c r="C30" s="263"/>
      <c r="D30" s="263"/>
      <c r="E30" s="263"/>
    </row>
    <row r="31" spans="1:5" ht="12.75" customHeight="1">
      <c r="A31" s="422" t="s">
        <v>210</v>
      </c>
      <c r="B31" s="422" t="s">
        <v>211</v>
      </c>
      <c r="C31" s="422" t="s">
        <v>202</v>
      </c>
      <c r="D31" s="422" t="s">
        <v>212</v>
      </c>
      <c r="E31" s="422" t="s">
        <v>422</v>
      </c>
    </row>
    <row r="32" spans="1:5" ht="17.25" customHeight="1">
      <c r="A32" s="423"/>
      <c r="B32" s="423"/>
      <c r="C32" s="423"/>
      <c r="D32" s="423"/>
      <c r="E32" s="423"/>
    </row>
    <row r="33" spans="1:5" ht="15.75">
      <c r="A33" s="265" t="s">
        <v>395</v>
      </c>
      <c r="B33" s="266">
        <v>48893</v>
      </c>
      <c r="C33" s="266">
        <v>4818</v>
      </c>
      <c r="D33" s="266">
        <v>1289</v>
      </c>
      <c r="E33" s="266">
        <f aca="true" t="shared" si="1" ref="E33:E41">SUM(B33:D33)</f>
        <v>55000</v>
      </c>
    </row>
    <row r="34" spans="1:5" ht="15.75">
      <c r="A34" s="267" t="s">
        <v>396</v>
      </c>
      <c r="B34" s="283">
        <v>1427</v>
      </c>
      <c r="C34" s="284">
        <v>15117</v>
      </c>
      <c r="D34" s="283">
        <v>6891</v>
      </c>
      <c r="E34" s="270">
        <f t="shared" si="1"/>
        <v>23435</v>
      </c>
    </row>
    <row r="35" spans="1:5" ht="15.75">
      <c r="A35" s="265" t="s">
        <v>397</v>
      </c>
      <c r="B35" s="266">
        <f>SUM(B33:B34)</f>
        <v>50320</v>
      </c>
      <c r="C35" s="266">
        <f>SUM(C33:C34)</f>
        <v>19935</v>
      </c>
      <c r="D35" s="266">
        <f>SUM(D33:D34)</f>
        <v>8180</v>
      </c>
      <c r="E35" s="266">
        <f t="shared" si="1"/>
        <v>78435</v>
      </c>
    </row>
    <row r="36" spans="1:5" ht="15.75">
      <c r="A36" s="272" t="s">
        <v>398</v>
      </c>
      <c r="B36" s="273">
        <f>SUM(B37:B41)</f>
        <v>50320</v>
      </c>
      <c r="C36" s="273">
        <f>SUM(C37:C41)</f>
        <v>15435</v>
      </c>
      <c r="D36" s="273">
        <f>SUM(D37:D41)</f>
        <v>8180</v>
      </c>
      <c r="E36" s="273">
        <f t="shared" si="1"/>
        <v>73935</v>
      </c>
    </row>
    <row r="37" spans="1:5" ht="15">
      <c r="A37" s="285" t="s">
        <v>213</v>
      </c>
      <c r="B37" s="286">
        <v>9728</v>
      </c>
      <c r="C37" s="286"/>
      <c r="D37" s="287"/>
      <c r="E37" s="288">
        <f t="shared" si="1"/>
        <v>9728</v>
      </c>
    </row>
    <row r="38" spans="1:5" ht="15">
      <c r="A38" s="285" t="s">
        <v>214</v>
      </c>
      <c r="B38" s="286">
        <v>2295</v>
      </c>
      <c r="C38" s="286"/>
      <c r="D38" s="287"/>
      <c r="E38" s="288">
        <f t="shared" si="1"/>
        <v>2295</v>
      </c>
    </row>
    <row r="39" spans="1:5" ht="15">
      <c r="A39" s="285">
        <v>2200</v>
      </c>
      <c r="B39" s="286">
        <v>31183</v>
      </c>
      <c r="C39" s="286">
        <v>9744</v>
      </c>
      <c r="D39" s="287">
        <v>2561</v>
      </c>
      <c r="E39" s="288">
        <f t="shared" si="1"/>
        <v>43488</v>
      </c>
    </row>
    <row r="40" spans="1:5" ht="15">
      <c r="A40" s="285">
        <v>2300</v>
      </c>
      <c r="B40" s="286">
        <v>7114</v>
      </c>
      <c r="C40" s="286">
        <v>2134</v>
      </c>
      <c r="D40" s="287">
        <v>2062</v>
      </c>
      <c r="E40" s="288">
        <f t="shared" si="1"/>
        <v>11310</v>
      </c>
    </row>
    <row r="41" spans="1:5" ht="15">
      <c r="A41" s="285">
        <v>5200</v>
      </c>
      <c r="B41" s="289"/>
      <c r="C41" s="286">
        <v>3557</v>
      </c>
      <c r="D41" s="287">
        <v>3557</v>
      </c>
      <c r="E41" s="288">
        <f t="shared" si="1"/>
        <v>7114</v>
      </c>
    </row>
    <row r="42" spans="1:5" ht="15.75">
      <c r="A42" s="280" t="s">
        <v>399</v>
      </c>
      <c r="B42" s="273">
        <f>B35-B36</f>
        <v>0</v>
      </c>
      <c r="C42" s="281">
        <f>C35-C36</f>
        <v>4500</v>
      </c>
      <c r="D42" s="281">
        <f>D35-D36</f>
        <v>0</v>
      </c>
      <c r="E42" s="266">
        <f>E35-E36</f>
        <v>4500</v>
      </c>
    </row>
    <row r="43" spans="1:5" ht="66.75" customHeight="1">
      <c r="A43" s="427" t="s">
        <v>466</v>
      </c>
      <c r="B43" s="427"/>
      <c r="C43" s="427"/>
      <c r="D43" s="427"/>
      <c r="E43" s="427"/>
    </row>
    <row r="44" spans="1:5" ht="15.75">
      <c r="A44" s="290"/>
      <c r="B44" s="290"/>
      <c r="C44" s="290"/>
      <c r="D44" s="290"/>
      <c r="E44" s="290"/>
    </row>
    <row r="45" spans="1:5" ht="18.75">
      <c r="A45" s="424" t="s">
        <v>218</v>
      </c>
      <c r="B45" s="424"/>
      <c r="C45" s="424"/>
      <c r="D45" s="424"/>
      <c r="E45" s="424"/>
    </row>
    <row r="46" spans="1:5" ht="18.75">
      <c r="A46" s="424" t="s">
        <v>394</v>
      </c>
      <c r="B46" s="424"/>
      <c r="C46" s="424"/>
      <c r="D46" s="424"/>
      <c r="E46" s="424"/>
    </row>
    <row r="47" spans="1:5" ht="12.75" customHeight="1">
      <c r="A47" s="422" t="s">
        <v>210</v>
      </c>
      <c r="B47" s="422" t="s">
        <v>211</v>
      </c>
      <c r="C47" s="422" t="s">
        <v>202</v>
      </c>
      <c r="D47" s="422" t="s">
        <v>212</v>
      </c>
      <c r="E47" s="422" t="s">
        <v>422</v>
      </c>
    </row>
    <row r="48" spans="1:5" ht="22.5" customHeight="1">
      <c r="A48" s="423"/>
      <c r="B48" s="423"/>
      <c r="C48" s="423"/>
      <c r="D48" s="423"/>
      <c r="E48" s="423"/>
    </row>
    <row r="49" spans="1:5" ht="17.25" customHeight="1">
      <c r="A49" s="265" t="s">
        <v>395</v>
      </c>
      <c r="B49" s="266">
        <v>57901</v>
      </c>
      <c r="C49" s="266">
        <v>5000</v>
      </c>
      <c r="D49" s="266"/>
      <c r="E49" s="266">
        <f aca="true" t="shared" si="2" ref="E49:E58">SUM(B49:D49)</f>
        <v>62901</v>
      </c>
    </row>
    <row r="50" spans="1:5" ht="15.75">
      <c r="A50" s="267" t="s">
        <v>396</v>
      </c>
      <c r="B50" s="283">
        <v>5</v>
      </c>
      <c r="C50" s="284">
        <v>21288</v>
      </c>
      <c r="D50" s="283"/>
      <c r="E50" s="270">
        <f t="shared" si="2"/>
        <v>21293</v>
      </c>
    </row>
    <row r="51" spans="1:5" ht="15.75">
      <c r="A51" s="265" t="s">
        <v>397</v>
      </c>
      <c r="B51" s="266">
        <f>SUM(B49:B50)</f>
        <v>57906</v>
      </c>
      <c r="C51" s="266">
        <f>SUM(C49:C50)</f>
        <v>26288</v>
      </c>
      <c r="D51" s="266">
        <f>SUM(D49:D50)</f>
        <v>0</v>
      </c>
      <c r="E51" s="266">
        <f t="shared" si="2"/>
        <v>84194</v>
      </c>
    </row>
    <row r="52" spans="1:5" ht="15.75">
      <c r="A52" s="272" t="s">
        <v>398</v>
      </c>
      <c r="B52" s="273">
        <f>SUM(B53:B58)</f>
        <v>57906</v>
      </c>
      <c r="C52" s="273">
        <f>SUM(C53:C58)</f>
        <v>26288</v>
      </c>
      <c r="D52" s="273">
        <f>SUM(D53:D58)</f>
        <v>0</v>
      </c>
      <c r="E52" s="273">
        <f t="shared" si="2"/>
        <v>84194</v>
      </c>
    </row>
    <row r="53" spans="1:5" ht="15">
      <c r="A53" s="285" t="s">
        <v>213</v>
      </c>
      <c r="B53" s="286"/>
      <c r="C53" s="286"/>
      <c r="D53" s="287"/>
      <c r="E53" s="288">
        <f t="shared" si="2"/>
        <v>0</v>
      </c>
    </row>
    <row r="54" spans="1:5" ht="15">
      <c r="A54" s="285" t="s">
        <v>214</v>
      </c>
      <c r="B54" s="286"/>
      <c r="C54" s="286"/>
      <c r="D54" s="287"/>
      <c r="E54" s="288">
        <f t="shared" si="2"/>
        <v>0</v>
      </c>
    </row>
    <row r="55" spans="1:5" ht="15">
      <c r="A55" s="285">
        <v>2200</v>
      </c>
      <c r="B55" s="286">
        <f>800+30601</f>
        <v>31401</v>
      </c>
      <c r="C55" s="286">
        <v>26288</v>
      </c>
      <c r="D55" s="287"/>
      <c r="E55" s="288">
        <f t="shared" si="2"/>
        <v>57689</v>
      </c>
    </row>
    <row r="56" spans="1:5" ht="15">
      <c r="A56" s="285">
        <v>2300</v>
      </c>
      <c r="B56" s="286">
        <v>25005</v>
      </c>
      <c r="C56" s="286"/>
      <c r="D56" s="287"/>
      <c r="E56" s="288">
        <f t="shared" si="2"/>
        <v>25005</v>
      </c>
    </row>
    <row r="57" spans="1:5" ht="15">
      <c r="A57" s="285">
        <v>2500</v>
      </c>
      <c r="B57" s="286">
        <v>1500</v>
      </c>
      <c r="C57" s="286"/>
      <c r="D57" s="287"/>
      <c r="E57" s="288">
        <f t="shared" si="2"/>
        <v>1500</v>
      </c>
    </row>
    <row r="58" spans="1:5" ht="15">
      <c r="A58" s="285">
        <v>5200</v>
      </c>
      <c r="B58" s="286"/>
      <c r="C58" s="286"/>
      <c r="D58" s="287"/>
      <c r="E58" s="288">
        <f t="shared" si="2"/>
        <v>0</v>
      </c>
    </row>
    <row r="59" spans="1:5" ht="15.75">
      <c r="A59" s="280" t="s">
        <v>399</v>
      </c>
      <c r="B59" s="273">
        <f>B51-B52</f>
        <v>0</v>
      </c>
      <c r="C59" s="273">
        <f>C51-C52</f>
        <v>0</v>
      </c>
      <c r="D59" s="273">
        <f>D51-D52</f>
        <v>0</v>
      </c>
      <c r="E59" s="266">
        <f>E51-E52</f>
        <v>0</v>
      </c>
    </row>
    <row r="60" spans="1:5" ht="66.75" customHeight="1">
      <c r="A60" s="427" t="s">
        <v>467</v>
      </c>
      <c r="B60" s="427"/>
      <c r="C60" s="427"/>
      <c r="D60" s="427"/>
      <c r="E60" s="427"/>
    </row>
    <row r="61" spans="1:5" ht="18.75">
      <c r="A61" s="424" t="s">
        <v>219</v>
      </c>
      <c r="B61" s="424"/>
      <c r="C61" s="424"/>
      <c r="D61" s="424"/>
      <c r="E61" s="424"/>
    </row>
    <row r="62" spans="1:5" ht="18.75">
      <c r="A62" s="424" t="s">
        <v>394</v>
      </c>
      <c r="B62" s="424"/>
      <c r="C62" s="424"/>
      <c r="D62" s="424"/>
      <c r="E62" s="424"/>
    </row>
    <row r="63" spans="1:5" ht="9" customHeight="1">
      <c r="A63" s="263"/>
      <c r="B63" s="263"/>
      <c r="C63" s="263"/>
      <c r="D63" s="263"/>
      <c r="E63" s="263"/>
    </row>
    <row r="64" spans="1:5" ht="12.75" customHeight="1">
      <c r="A64" s="422" t="s">
        <v>210</v>
      </c>
      <c r="B64" s="422" t="s">
        <v>211</v>
      </c>
      <c r="C64" s="422" t="s">
        <v>202</v>
      </c>
      <c r="D64" s="422" t="s">
        <v>212</v>
      </c>
      <c r="E64" s="422" t="s">
        <v>422</v>
      </c>
    </row>
    <row r="65" spans="1:5" ht="19.5" customHeight="1">
      <c r="A65" s="423"/>
      <c r="B65" s="423"/>
      <c r="C65" s="423"/>
      <c r="D65" s="423"/>
      <c r="E65" s="423"/>
    </row>
    <row r="66" spans="1:5" ht="15.75">
      <c r="A66" s="265" t="s">
        <v>395</v>
      </c>
      <c r="B66" s="266">
        <v>26032</v>
      </c>
      <c r="C66" s="266">
        <v>200</v>
      </c>
      <c r="D66" s="266"/>
      <c r="E66" s="266">
        <f aca="true" t="shared" si="3" ref="E66:E74">SUM(B66:D66)</f>
        <v>26232</v>
      </c>
    </row>
    <row r="67" spans="1:5" ht="15.75">
      <c r="A67" s="267" t="s">
        <v>396</v>
      </c>
      <c r="B67" s="283">
        <v>368</v>
      </c>
      <c r="C67" s="284">
        <v>1368</v>
      </c>
      <c r="D67" s="283"/>
      <c r="E67" s="270">
        <f t="shared" si="3"/>
        <v>1736</v>
      </c>
    </row>
    <row r="68" spans="1:5" ht="15.75">
      <c r="A68" s="265" t="s">
        <v>397</v>
      </c>
      <c r="B68" s="266">
        <f>SUM(B66:B67)</f>
        <v>26400</v>
      </c>
      <c r="C68" s="266">
        <f>SUM(C66:C67)</f>
        <v>1568</v>
      </c>
      <c r="D68" s="266">
        <f>SUM(D66:D67)</f>
        <v>0</v>
      </c>
      <c r="E68" s="266">
        <f t="shared" si="3"/>
        <v>27968</v>
      </c>
    </row>
    <row r="69" spans="1:5" ht="15.75">
      <c r="A69" s="272" t="s">
        <v>398</v>
      </c>
      <c r="B69" s="273">
        <f>SUM(B70:B74)</f>
        <v>26200</v>
      </c>
      <c r="C69" s="273">
        <f>SUM(C70:C74)</f>
        <v>0</v>
      </c>
      <c r="D69" s="273">
        <f>SUM(D70:D74)</f>
        <v>0</v>
      </c>
      <c r="E69" s="273">
        <f t="shared" si="3"/>
        <v>26200</v>
      </c>
    </row>
    <row r="70" spans="1:5" ht="15">
      <c r="A70" s="285" t="s">
        <v>213</v>
      </c>
      <c r="B70" s="286">
        <v>5690</v>
      </c>
      <c r="C70" s="286"/>
      <c r="D70" s="287"/>
      <c r="E70" s="288">
        <f t="shared" si="3"/>
        <v>5690</v>
      </c>
    </row>
    <row r="71" spans="1:5" ht="15">
      <c r="A71" s="285" t="s">
        <v>214</v>
      </c>
      <c r="B71" s="286">
        <v>2412</v>
      </c>
      <c r="C71" s="286"/>
      <c r="D71" s="287"/>
      <c r="E71" s="288">
        <f t="shared" si="3"/>
        <v>2412</v>
      </c>
    </row>
    <row r="72" spans="1:5" ht="15">
      <c r="A72" s="285">
        <v>2200</v>
      </c>
      <c r="B72" s="286">
        <v>7298</v>
      </c>
      <c r="C72" s="286"/>
      <c r="D72" s="287"/>
      <c r="E72" s="288">
        <f t="shared" si="3"/>
        <v>7298</v>
      </c>
    </row>
    <row r="73" spans="1:5" ht="15">
      <c r="A73" s="285">
        <v>2300</v>
      </c>
      <c r="B73" s="286">
        <v>10800</v>
      </c>
      <c r="C73" s="286"/>
      <c r="D73" s="287"/>
      <c r="E73" s="288">
        <f t="shared" si="3"/>
        <v>10800</v>
      </c>
    </row>
    <row r="74" spans="1:5" ht="15">
      <c r="A74" s="285">
        <v>5200</v>
      </c>
      <c r="B74" s="289"/>
      <c r="C74" s="289"/>
      <c r="D74" s="287"/>
      <c r="E74" s="288">
        <f t="shared" si="3"/>
        <v>0</v>
      </c>
    </row>
    <row r="75" spans="1:5" ht="15.75">
      <c r="A75" s="280" t="s">
        <v>399</v>
      </c>
      <c r="B75" s="273">
        <f>B68-B69</f>
        <v>200</v>
      </c>
      <c r="C75" s="281">
        <f>C68-C69</f>
        <v>1568</v>
      </c>
      <c r="D75" s="281">
        <f>D68-D69</f>
        <v>0</v>
      </c>
      <c r="E75" s="266">
        <f>E68-E69</f>
        <v>1768</v>
      </c>
    </row>
    <row r="76" spans="1:5" ht="60" customHeight="1">
      <c r="A76" s="427" t="s">
        <v>468</v>
      </c>
      <c r="B76" s="427"/>
      <c r="C76" s="427"/>
      <c r="D76" s="427"/>
      <c r="E76" s="427"/>
    </row>
    <row r="77" spans="1:5" ht="9.75" customHeight="1">
      <c r="A77" s="290"/>
      <c r="B77" s="290"/>
      <c r="C77" s="290"/>
      <c r="D77" s="290"/>
      <c r="E77" s="290"/>
    </row>
    <row r="78" spans="1:5" ht="18.75">
      <c r="A78" s="424" t="s">
        <v>220</v>
      </c>
      <c r="B78" s="424"/>
      <c r="C78" s="424"/>
      <c r="D78" s="424"/>
      <c r="E78" s="424"/>
    </row>
    <row r="79" spans="1:5" ht="18.75">
      <c r="A79" s="424" t="s">
        <v>394</v>
      </c>
      <c r="B79" s="424"/>
      <c r="C79" s="424"/>
      <c r="D79" s="424"/>
      <c r="E79" s="424"/>
    </row>
    <row r="80" spans="1:5" ht="7.5" customHeight="1">
      <c r="A80" s="263"/>
      <c r="B80" s="263"/>
      <c r="C80" s="263"/>
      <c r="D80" s="263"/>
      <c r="E80" s="263"/>
    </row>
    <row r="81" spans="1:5" ht="12.75" customHeight="1">
      <c r="A81" s="422" t="s">
        <v>210</v>
      </c>
      <c r="B81" s="422" t="s">
        <v>211</v>
      </c>
      <c r="C81" s="422" t="s">
        <v>202</v>
      </c>
      <c r="D81" s="422" t="s">
        <v>212</v>
      </c>
      <c r="E81" s="422" t="s">
        <v>422</v>
      </c>
    </row>
    <row r="82" spans="1:5" ht="24" customHeight="1">
      <c r="A82" s="423"/>
      <c r="B82" s="423"/>
      <c r="C82" s="423"/>
      <c r="D82" s="423"/>
      <c r="E82" s="423"/>
    </row>
    <row r="83" spans="1:5" ht="15.75">
      <c r="A83" s="265" t="s">
        <v>395</v>
      </c>
      <c r="B83" s="266">
        <v>36801</v>
      </c>
      <c r="C83" s="266">
        <v>4269</v>
      </c>
      <c r="D83" s="266"/>
      <c r="E83" s="266">
        <f aca="true" t="shared" si="4" ref="E83:E91">SUM(B83:D83)</f>
        <v>41070</v>
      </c>
    </row>
    <row r="84" spans="1:5" ht="15.75">
      <c r="A84" s="267" t="s">
        <v>396</v>
      </c>
      <c r="B84" s="283"/>
      <c r="C84" s="284">
        <v>4863</v>
      </c>
      <c r="D84" s="283"/>
      <c r="E84" s="270">
        <f t="shared" si="4"/>
        <v>4863</v>
      </c>
    </row>
    <row r="85" spans="1:5" ht="15.75">
      <c r="A85" s="265" t="s">
        <v>397</v>
      </c>
      <c r="B85" s="266">
        <f>SUM(B83:B84)</f>
        <v>36801</v>
      </c>
      <c r="C85" s="266">
        <f>SUM(C83:C84)</f>
        <v>9132</v>
      </c>
      <c r="D85" s="266">
        <f>SUM(D83:D84)</f>
        <v>0</v>
      </c>
      <c r="E85" s="266">
        <f t="shared" si="4"/>
        <v>45933</v>
      </c>
    </row>
    <row r="86" spans="1:5" ht="15.75">
      <c r="A86" s="272" t="s">
        <v>398</v>
      </c>
      <c r="B86" s="273">
        <f>SUM(B87:B91)</f>
        <v>36801</v>
      </c>
      <c r="C86" s="273">
        <f>SUM(C87:C91)</f>
        <v>8537</v>
      </c>
      <c r="D86" s="273">
        <f>SUM(D87:D91)</f>
        <v>0</v>
      </c>
      <c r="E86" s="273">
        <f t="shared" si="4"/>
        <v>45338</v>
      </c>
    </row>
    <row r="87" spans="1:5" ht="15">
      <c r="A87" s="285" t="s">
        <v>213</v>
      </c>
      <c r="B87" s="286">
        <v>9244</v>
      </c>
      <c r="C87" s="286"/>
      <c r="D87" s="287"/>
      <c r="E87" s="288">
        <f t="shared" si="4"/>
        <v>9244</v>
      </c>
    </row>
    <row r="88" spans="1:5" ht="15">
      <c r="A88" s="285" t="s">
        <v>214</v>
      </c>
      <c r="B88" s="286">
        <v>2580</v>
      </c>
      <c r="C88" s="286"/>
      <c r="D88" s="287"/>
      <c r="E88" s="288">
        <f t="shared" si="4"/>
        <v>2580</v>
      </c>
    </row>
    <row r="89" spans="1:5" ht="15">
      <c r="A89" s="285">
        <v>2200</v>
      </c>
      <c r="B89" s="286">
        <v>14229</v>
      </c>
      <c r="C89" s="286">
        <v>6403</v>
      </c>
      <c r="D89" s="287"/>
      <c r="E89" s="288">
        <f t="shared" si="4"/>
        <v>20632</v>
      </c>
    </row>
    <row r="90" spans="1:5" ht="15">
      <c r="A90" s="285">
        <v>2300</v>
      </c>
      <c r="B90" s="286">
        <v>10748</v>
      </c>
      <c r="C90" s="286"/>
      <c r="D90" s="287"/>
      <c r="E90" s="288">
        <f t="shared" si="4"/>
        <v>10748</v>
      </c>
    </row>
    <row r="91" spans="1:5" ht="15">
      <c r="A91" s="285">
        <v>5200</v>
      </c>
      <c r="B91" s="289"/>
      <c r="C91" s="286">
        <v>2134</v>
      </c>
      <c r="D91" s="287"/>
      <c r="E91" s="288">
        <f t="shared" si="4"/>
        <v>2134</v>
      </c>
    </row>
    <row r="92" spans="1:5" ht="15.75">
      <c r="A92" s="280" t="s">
        <v>399</v>
      </c>
      <c r="B92" s="273">
        <f>B85-B86</f>
        <v>0</v>
      </c>
      <c r="C92" s="281">
        <f>C85-C86</f>
        <v>595</v>
      </c>
      <c r="D92" s="281">
        <f>D85-D86</f>
        <v>0</v>
      </c>
      <c r="E92" s="266">
        <f>E85-E86</f>
        <v>595</v>
      </c>
    </row>
    <row r="93" spans="1:5" ht="15.75">
      <c r="A93" s="291" t="s">
        <v>221</v>
      </c>
      <c r="B93" s="292"/>
      <c r="C93" s="293"/>
      <c r="D93" s="294"/>
      <c r="E93" s="295">
        <f>SUM(B93:D93)</f>
        <v>0</v>
      </c>
    </row>
    <row r="94" spans="1:5" ht="72" customHeight="1">
      <c r="A94" s="428" t="s">
        <v>469</v>
      </c>
      <c r="B94" s="428"/>
      <c r="C94" s="428"/>
      <c r="D94" s="428"/>
      <c r="E94" s="428"/>
    </row>
    <row r="95" spans="1:5" ht="18.75">
      <c r="A95" s="424" t="s">
        <v>456</v>
      </c>
      <c r="B95" s="424"/>
      <c r="C95" s="424"/>
      <c r="D95" s="424"/>
      <c r="E95" s="424"/>
    </row>
    <row r="96" spans="1:5" ht="18.75">
      <c r="A96" s="424" t="s">
        <v>394</v>
      </c>
      <c r="B96" s="424"/>
      <c r="C96" s="424"/>
      <c r="D96" s="424"/>
      <c r="E96" s="424"/>
    </row>
    <row r="97" spans="1:5" ht="18.75">
      <c r="A97" s="263"/>
      <c r="B97" s="263"/>
      <c r="C97" s="263"/>
      <c r="D97" s="263"/>
      <c r="E97" s="263"/>
    </row>
    <row r="98" spans="1:5" ht="12.75" customHeight="1">
      <c r="A98" s="422" t="s">
        <v>210</v>
      </c>
      <c r="B98" s="422" t="s">
        <v>211</v>
      </c>
      <c r="C98" s="422" t="s">
        <v>202</v>
      </c>
      <c r="D98" s="422" t="s">
        <v>212</v>
      </c>
      <c r="E98" s="422" t="s">
        <v>422</v>
      </c>
    </row>
    <row r="99" spans="1:5" ht="19.5" customHeight="1">
      <c r="A99" s="423"/>
      <c r="B99" s="423"/>
      <c r="C99" s="423"/>
      <c r="D99" s="423"/>
      <c r="E99" s="423"/>
    </row>
    <row r="100" spans="1:5" ht="15.75">
      <c r="A100" s="265" t="s">
        <v>395</v>
      </c>
      <c r="B100" s="266">
        <f>37723+36725</f>
        <v>74448</v>
      </c>
      <c r="C100" s="266">
        <f>1423+427</f>
        <v>1850</v>
      </c>
      <c r="D100" s="266"/>
      <c r="E100" s="266">
        <f aca="true" t="shared" si="5" ref="E100:E108">SUM(B100:D100)</f>
        <v>76298</v>
      </c>
    </row>
    <row r="101" spans="1:5" ht="15.75">
      <c r="A101" s="267" t="s">
        <v>396</v>
      </c>
      <c r="B101" s="283">
        <f>7743+2533</f>
        <v>10276</v>
      </c>
      <c r="C101" s="284">
        <f>10804+1179</f>
        <v>11983</v>
      </c>
      <c r="D101" s="283"/>
      <c r="E101" s="270">
        <f t="shared" si="5"/>
        <v>22259</v>
      </c>
    </row>
    <row r="102" spans="1:5" ht="15.75">
      <c r="A102" s="265" t="s">
        <v>397</v>
      </c>
      <c r="B102" s="266">
        <f>SUM(B100:B101)</f>
        <v>84724</v>
      </c>
      <c r="C102" s="266">
        <f>SUM(C100:C101)</f>
        <v>13833</v>
      </c>
      <c r="D102" s="266">
        <f>SUM(D100:D101)</f>
        <v>0</v>
      </c>
      <c r="E102" s="266">
        <f t="shared" si="5"/>
        <v>98557</v>
      </c>
    </row>
    <row r="103" spans="1:5" ht="15.75">
      <c r="A103" s="272" t="s">
        <v>398</v>
      </c>
      <c r="B103" s="273">
        <f>SUM(B104:B108)</f>
        <v>74759</v>
      </c>
      <c r="C103" s="273">
        <f>SUM(C104:C108)</f>
        <v>13833</v>
      </c>
      <c r="D103" s="273">
        <f>SUM(D104:D108)</f>
        <v>0</v>
      </c>
      <c r="E103" s="273">
        <f t="shared" si="5"/>
        <v>88592</v>
      </c>
    </row>
    <row r="104" spans="1:5" ht="15">
      <c r="A104" s="285" t="s">
        <v>213</v>
      </c>
      <c r="B104" s="286">
        <f>9960+10000</f>
        <v>19960</v>
      </c>
      <c r="C104" s="286"/>
      <c r="D104" s="287"/>
      <c r="E104" s="288">
        <f t="shared" si="5"/>
        <v>19960</v>
      </c>
    </row>
    <row r="105" spans="1:5" ht="15">
      <c r="A105" s="285" t="s">
        <v>214</v>
      </c>
      <c r="B105" s="286">
        <f>2348+2359</f>
        <v>4707</v>
      </c>
      <c r="C105" s="286"/>
      <c r="D105" s="287"/>
      <c r="E105" s="288">
        <f t="shared" si="5"/>
        <v>4707</v>
      </c>
    </row>
    <row r="106" spans="1:5" ht="15">
      <c r="A106" s="285">
        <v>2200</v>
      </c>
      <c r="B106" s="286">
        <f>4695+20899</f>
        <v>25594</v>
      </c>
      <c r="C106" s="286">
        <f>12227+1606</f>
        <v>13833</v>
      </c>
      <c r="D106" s="287"/>
      <c r="E106" s="288">
        <f t="shared" si="5"/>
        <v>39427</v>
      </c>
    </row>
    <row r="107" spans="1:5" ht="15">
      <c r="A107" s="285">
        <v>2300</v>
      </c>
      <c r="B107" s="286">
        <f>14229+6000</f>
        <v>20229</v>
      </c>
      <c r="C107" s="286"/>
      <c r="D107" s="287"/>
      <c r="E107" s="288">
        <f t="shared" si="5"/>
        <v>20229</v>
      </c>
    </row>
    <row r="108" spans="1:5" ht="15">
      <c r="A108" s="285">
        <v>5200</v>
      </c>
      <c r="B108" s="286">
        <v>4269</v>
      </c>
      <c r="C108" s="289"/>
      <c r="D108" s="287"/>
      <c r="E108" s="288">
        <f t="shared" si="5"/>
        <v>4269</v>
      </c>
    </row>
    <row r="109" spans="1:5" ht="15.75">
      <c r="A109" s="280" t="s">
        <v>399</v>
      </c>
      <c r="B109" s="273">
        <f>B102-B103</f>
        <v>9965</v>
      </c>
      <c r="C109" s="281">
        <f>C102-C103</f>
        <v>0</v>
      </c>
      <c r="D109" s="281">
        <f>D102-D103</f>
        <v>0</v>
      </c>
      <c r="E109" s="266">
        <f>E102-E103</f>
        <v>9965</v>
      </c>
    </row>
    <row r="110" spans="1:5" ht="57" customHeight="1">
      <c r="A110" s="427" t="s">
        <v>470</v>
      </c>
      <c r="B110" s="427"/>
      <c r="C110" s="427"/>
      <c r="D110" s="427"/>
      <c r="E110" s="427"/>
    </row>
    <row r="111" spans="1:5" ht="15.75">
      <c r="A111" s="290"/>
      <c r="B111" s="290"/>
      <c r="C111" s="290"/>
      <c r="D111" s="290"/>
      <c r="E111" s="290"/>
    </row>
    <row r="112" spans="1:5" ht="15.75">
      <c r="A112" s="290"/>
      <c r="B112" s="290"/>
      <c r="C112" s="290"/>
      <c r="D112" s="290"/>
      <c r="E112" s="290"/>
    </row>
    <row r="113" spans="1:5" ht="18.75">
      <c r="A113" s="424" t="s">
        <v>222</v>
      </c>
      <c r="B113" s="424"/>
      <c r="C113" s="424"/>
      <c r="D113" s="424"/>
      <c r="E113" s="424"/>
    </row>
    <row r="114" spans="1:5" ht="18.75">
      <c r="A114" s="424" t="s">
        <v>394</v>
      </c>
      <c r="B114" s="424"/>
      <c r="C114" s="424"/>
      <c r="D114" s="424"/>
      <c r="E114" s="424"/>
    </row>
    <row r="115" spans="1:5" ht="18.75">
      <c r="A115" s="263"/>
      <c r="B115" s="263"/>
      <c r="C115" s="263"/>
      <c r="D115" s="263"/>
      <c r="E115" s="263"/>
    </row>
    <row r="116" spans="1:5" ht="12.75" customHeight="1">
      <c r="A116" s="422" t="s">
        <v>210</v>
      </c>
      <c r="B116" s="422" t="s">
        <v>211</v>
      </c>
      <c r="C116" s="422" t="s">
        <v>202</v>
      </c>
      <c r="D116" s="422" t="s">
        <v>212</v>
      </c>
      <c r="E116" s="422" t="s">
        <v>422</v>
      </c>
    </row>
    <row r="117" spans="1:5" ht="21" customHeight="1">
      <c r="A117" s="423"/>
      <c r="B117" s="423"/>
      <c r="C117" s="423"/>
      <c r="D117" s="423"/>
      <c r="E117" s="423"/>
    </row>
    <row r="118" spans="1:5" ht="15.75">
      <c r="A118" s="265" t="s">
        <v>395</v>
      </c>
      <c r="B118" s="266">
        <v>34383</v>
      </c>
      <c r="C118" s="266">
        <v>5691</v>
      </c>
      <c r="D118" s="266"/>
      <c r="E118" s="266">
        <f aca="true" t="shared" si="6" ref="E118:E126">SUM(B118:D118)</f>
        <v>40074</v>
      </c>
    </row>
    <row r="119" spans="1:5" ht="15.75">
      <c r="A119" s="267" t="s">
        <v>396</v>
      </c>
      <c r="B119" s="283"/>
      <c r="C119" s="284">
        <v>6272</v>
      </c>
      <c r="D119" s="283"/>
      <c r="E119" s="270">
        <f t="shared" si="6"/>
        <v>6272</v>
      </c>
    </row>
    <row r="120" spans="1:5" ht="15.75">
      <c r="A120" s="265" t="s">
        <v>397</v>
      </c>
      <c r="B120" s="266">
        <f>SUM(B118:B119)</f>
        <v>34383</v>
      </c>
      <c r="C120" s="266">
        <f>SUM(C118:C119)</f>
        <v>11963</v>
      </c>
      <c r="D120" s="266">
        <f>SUM(D118:D119)</f>
        <v>0</v>
      </c>
      <c r="E120" s="266">
        <f t="shared" si="6"/>
        <v>46346</v>
      </c>
    </row>
    <row r="121" spans="1:5" ht="15.75">
      <c r="A121" s="272" t="s">
        <v>398</v>
      </c>
      <c r="B121" s="273">
        <v>34383</v>
      </c>
      <c r="C121" s="273">
        <v>11963</v>
      </c>
      <c r="D121" s="273">
        <f>SUM(D122:D126)</f>
        <v>0</v>
      </c>
      <c r="E121" s="273">
        <f t="shared" si="6"/>
        <v>46346</v>
      </c>
    </row>
    <row r="122" spans="1:5" ht="15.75">
      <c r="A122" s="285" t="s">
        <v>213</v>
      </c>
      <c r="B122" s="398">
        <v>1423</v>
      </c>
      <c r="C122" s="275"/>
      <c r="D122" s="287"/>
      <c r="E122" s="288">
        <f t="shared" si="6"/>
        <v>1423</v>
      </c>
    </row>
    <row r="123" spans="1:5" ht="15.75">
      <c r="A123" s="285" t="s">
        <v>214</v>
      </c>
      <c r="B123" s="398">
        <v>336</v>
      </c>
      <c r="C123" s="275"/>
      <c r="D123" s="287"/>
      <c r="E123" s="288">
        <f t="shared" si="6"/>
        <v>336</v>
      </c>
    </row>
    <row r="124" spans="1:5" ht="15.75">
      <c r="A124" s="285">
        <v>2200</v>
      </c>
      <c r="B124" s="398">
        <v>31557</v>
      </c>
      <c r="C124" s="275">
        <v>3632</v>
      </c>
      <c r="D124" s="287"/>
      <c r="E124" s="288">
        <f t="shared" si="6"/>
        <v>35189</v>
      </c>
    </row>
    <row r="125" spans="1:5" ht="15.75">
      <c r="A125" s="285">
        <v>2300</v>
      </c>
      <c r="B125" s="398">
        <v>427</v>
      </c>
      <c r="C125" s="275">
        <v>1501</v>
      </c>
      <c r="D125" s="287"/>
      <c r="E125" s="288">
        <f t="shared" si="6"/>
        <v>1928</v>
      </c>
    </row>
    <row r="126" spans="1:5" ht="15">
      <c r="A126" s="285">
        <v>5200</v>
      </c>
      <c r="B126" s="286">
        <v>640</v>
      </c>
      <c r="C126" s="286">
        <v>6830</v>
      </c>
      <c r="D126" s="287"/>
      <c r="E126" s="288">
        <f t="shared" si="6"/>
        <v>7470</v>
      </c>
    </row>
    <row r="127" spans="1:5" ht="15.75">
      <c r="A127" s="280" t="s">
        <v>399</v>
      </c>
      <c r="B127" s="273">
        <f>B120-B121</f>
        <v>0</v>
      </c>
      <c r="C127" s="281">
        <v>0</v>
      </c>
      <c r="D127" s="281">
        <f>D120-D121</f>
        <v>0</v>
      </c>
      <c r="E127" s="266">
        <f>E120-E121</f>
        <v>0</v>
      </c>
    </row>
    <row r="128" spans="1:5" ht="70.5" customHeight="1">
      <c r="A128" s="427" t="s">
        <v>471</v>
      </c>
      <c r="B128" s="427"/>
      <c r="C128" s="427"/>
      <c r="D128" s="427"/>
      <c r="E128" s="427"/>
    </row>
    <row r="129" spans="1:5" ht="15.75">
      <c r="A129" s="290"/>
      <c r="B129" s="290"/>
      <c r="C129" s="290"/>
      <c r="D129" s="290"/>
      <c r="E129" s="290"/>
    </row>
    <row r="130" spans="1:5" ht="18.75">
      <c r="A130" s="424" t="s">
        <v>223</v>
      </c>
      <c r="B130" s="424"/>
      <c r="C130" s="424"/>
      <c r="D130" s="424"/>
      <c r="E130" s="424"/>
    </row>
    <row r="131" spans="1:5" ht="18.75">
      <c r="A131" s="424" t="s">
        <v>394</v>
      </c>
      <c r="B131" s="424"/>
      <c r="C131" s="424"/>
      <c r="D131" s="424"/>
      <c r="E131" s="424"/>
    </row>
    <row r="132" spans="1:5" ht="13.5" customHeight="1">
      <c r="A132" s="263"/>
      <c r="B132" s="263"/>
      <c r="C132" s="263"/>
      <c r="D132" s="263"/>
      <c r="E132" s="263"/>
    </row>
    <row r="133" spans="1:5" ht="12.75" customHeight="1">
      <c r="A133" s="422" t="s">
        <v>210</v>
      </c>
      <c r="B133" s="422" t="s">
        <v>211</v>
      </c>
      <c r="C133" s="422" t="s">
        <v>202</v>
      </c>
      <c r="D133" s="422" t="s">
        <v>212</v>
      </c>
      <c r="E133" s="422" t="s">
        <v>422</v>
      </c>
    </row>
    <row r="134" spans="1:5" ht="20.25" customHeight="1">
      <c r="A134" s="423"/>
      <c r="B134" s="423"/>
      <c r="C134" s="423"/>
      <c r="D134" s="423"/>
      <c r="E134" s="423"/>
    </row>
    <row r="135" spans="1:5" ht="15.75">
      <c r="A135" s="265" t="s">
        <v>395</v>
      </c>
      <c r="B135" s="266">
        <v>24502</v>
      </c>
      <c r="C135" s="266">
        <v>4269</v>
      </c>
      <c r="D135" s="266">
        <v>7826</v>
      </c>
      <c r="E135" s="266">
        <f aca="true" t="shared" si="7" ref="E135:E143">SUM(B135:D135)</f>
        <v>36597</v>
      </c>
    </row>
    <row r="136" spans="1:5" ht="15.75">
      <c r="A136" s="267" t="s">
        <v>396</v>
      </c>
      <c r="B136" s="283">
        <v>4556</v>
      </c>
      <c r="C136" s="284">
        <v>28217</v>
      </c>
      <c r="D136" s="283">
        <v>6191</v>
      </c>
      <c r="E136" s="270">
        <f t="shared" si="7"/>
        <v>38964</v>
      </c>
    </row>
    <row r="137" spans="1:5" ht="15.75">
      <c r="A137" s="265" t="s">
        <v>397</v>
      </c>
      <c r="B137" s="266">
        <f>SUM(B135:B136)</f>
        <v>29058</v>
      </c>
      <c r="C137" s="266">
        <f>SUM(C135:C136)</f>
        <v>32486</v>
      </c>
      <c r="D137" s="266">
        <f>SUM(D135:D136)</f>
        <v>14017</v>
      </c>
      <c r="E137" s="266">
        <f t="shared" si="7"/>
        <v>75561</v>
      </c>
    </row>
    <row r="138" spans="1:5" ht="15.75">
      <c r="A138" s="272" t="s">
        <v>398</v>
      </c>
      <c r="B138" s="273">
        <f>SUM(B139:B143)</f>
        <v>24189</v>
      </c>
      <c r="C138" s="273">
        <f>SUM(C139:C143)</f>
        <v>0</v>
      </c>
      <c r="D138" s="273">
        <f>SUM(D139:D143)</f>
        <v>8537</v>
      </c>
      <c r="E138" s="273">
        <f t="shared" si="7"/>
        <v>32726</v>
      </c>
    </row>
    <row r="139" spans="1:5" ht="15">
      <c r="A139" s="285" t="s">
        <v>213</v>
      </c>
      <c r="B139" s="286"/>
      <c r="C139" s="286"/>
      <c r="D139" s="287"/>
      <c r="E139" s="288">
        <f t="shared" si="7"/>
        <v>0</v>
      </c>
    </row>
    <row r="140" spans="1:5" ht="15">
      <c r="A140" s="285" t="s">
        <v>214</v>
      </c>
      <c r="B140" s="286"/>
      <c r="C140" s="286"/>
      <c r="D140" s="287"/>
      <c r="E140" s="288">
        <f t="shared" si="7"/>
        <v>0</v>
      </c>
    </row>
    <row r="141" spans="1:5" ht="15">
      <c r="A141" s="285">
        <v>2200</v>
      </c>
      <c r="B141" s="286">
        <v>24189</v>
      </c>
      <c r="C141" s="286"/>
      <c r="D141" s="287"/>
      <c r="E141" s="288">
        <f t="shared" si="7"/>
        <v>24189</v>
      </c>
    </row>
    <row r="142" spans="1:5" ht="15">
      <c r="A142" s="285">
        <v>2300</v>
      </c>
      <c r="B142" s="286"/>
      <c r="C142" s="286"/>
      <c r="D142" s="287">
        <v>8537</v>
      </c>
      <c r="E142" s="288">
        <f t="shared" si="7"/>
        <v>8537</v>
      </c>
    </row>
    <row r="143" spans="1:5" ht="15">
      <c r="A143" s="285">
        <v>5200</v>
      </c>
      <c r="B143" s="289"/>
      <c r="C143" s="289"/>
      <c r="D143" s="287"/>
      <c r="E143" s="288">
        <f t="shared" si="7"/>
        <v>0</v>
      </c>
    </row>
    <row r="144" spans="1:5" ht="15.75">
      <c r="A144" s="280" t="s">
        <v>399</v>
      </c>
      <c r="B144" s="273">
        <f>B137-B138</f>
        <v>4869</v>
      </c>
      <c r="C144" s="281">
        <f>C137-C138</f>
        <v>32486</v>
      </c>
      <c r="D144" s="281">
        <f>D137-D138</f>
        <v>5480</v>
      </c>
      <c r="E144" s="266">
        <f>E137-E138</f>
        <v>42835</v>
      </c>
    </row>
    <row r="145" spans="1:5" ht="69" customHeight="1">
      <c r="A145" s="427" t="s">
        <v>472</v>
      </c>
      <c r="B145" s="427"/>
      <c r="C145" s="427"/>
      <c r="D145" s="427"/>
      <c r="E145" s="427"/>
    </row>
    <row r="147" ht="12.75">
      <c r="A147" s="401" t="s">
        <v>416</v>
      </c>
    </row>
    <row r="148" spans="1:5" ht="15.75">
      <c r="A148" s="265" t="s">
        <v>395</v>
      </c>
      <c r="B148" s="264">
        <f aca="true" t="shared" si="8" ref="B148:E149">B6+B33+B49+B66+B83+B100+B118+B135</f>
        <v>780057</v>
      </c>
      <c r="C148" s="264">
        <f t="shared" si="8"/>
        <v>96247</v>
      </c>
      <c r="D148" s="264">
        <f t="shared" si="8"/>
        <v>9115</v>
      </c>
      <c r="E148" s="264">
        <f t="shared" si="8"/>
        <v>885419</v>
      </c>
    </row>
    <row r="149" spans="1:5" ht="15.75">
      <c r="A149" s="267" t="s">
        <v>396</v>
      </c>
      <c r="B149" s="264">
        <f t="shared" si="8"/>
        <v>16632</v>
      </c>
      <c r="C149" s="264">
        <f t="shared" si="8"/>
        <v>135050</v>
      </c>
      <c r="D149" s="264">
        <f t="shared" si="8"/>
        <v>13082</v>
      </c>
      <c r="E149" s="264">
        <f t="shared" si="8"/>
        <v>164764</v>
      </c>
    </row>
    <row r="150" spans="1:5" ht="15.75">
      <c r="A150" s="265" t="s">
        <v>397</v>
      </c>
      <c r="B150" s="264">
        <f aca="true" t="shared" si="9" ref="B150:E151">B8+B35+B51+B68+B85+B102+B120+B137</f>
        <v>796689</v>
      </c>
      <c r="C150" s="264">
        <f t="shared" si="9"/>
        <v>231297</v>
      </c>
      <c r="D150" s="264">
        <f t="shared" si="9"/>
        <v>22197</v>
      </c>
      <c r="E150" s="264">
        <f t="shared" si="9"/>
        <v>1050183</v>
      </c>
    </row>
    <row r="151" spans="1:5" ht="15.75">
      <c r="A151" s="272" t="s">
        <v>398</v>
      </c>
      <c r="B151" s="264">
        <f t="shared" si="9"/>
        <v>781655</v>
      </c>
      <c r="C151" s="264">
        <f t="shared" si="9"/>
        <v>154169</v>
      </c>
      <c r="D151" s="264">
        <f t="shared" si="9"/>
        <v>16717</v>
      </c>
      <c r="E151" s="264">
        <f t="shared" si="9"/>
        <v>952541</v>
      </c>
    </row>
  </sheetData>
  <sheetProtection/>
  <mergeCells count="64">
    <mergeCell ref="A145:E145"/>
    <mergeCell ref="A43:E43"/>
    <mergeCell ref="A60:E60"/>
    <mergeCell ref="A76:E76"/>
    <mergeCell ref="A94:E94"/>
    <mergeCell ref="A130:E130"/>
    <mergeCell ref="A131:E131"/>
    <mergeCell ref="A113:E113"/>
    <mergeCell ref="A114:E114"/>
    <mergeCell ref="A128:E128"/>
    <mergeCell ref="A78:E78"/>
    <mergeCell ref="A79:E79"/>
    <mergeCell ref="A95:E95"/>
    <mergeCell ref="A110:E110"/>
    <mergeCell ref="A96:E96"/>
    <mergeCell ref="A81:A82"/>
    <mergeCell ref="B81:B82"/>
    <mergeCell ref="C81:C82"/>
    <mergeCell ref="D81:D82"/>
    <mergeCell ref="E81:E82"/>
    <mergeCell ref="A61:E61"/>
    <mergeCell ref="A62:E62"/>
    <mergeCell ref="A64:A65"/>
    <mergeCell ref="B64:B65"/>
    <mergeCell ref="C64:C65"/>
    <mergeCell ref="D64:D65"/>
    <mergeCell ref="E64:E65"/>
    <mergeCell ref="A45:E45"/>
    <mergeCell ref="A46:E46"/>
    <mergeCell ref="A47:A48"/>
    <mergeCell ref="B47:B48"/>
    <mergeCell ref="C47:C48"/>
    <mergeCell ref="D47:D48"/>
    <mergeCell ref="E47:E48"/>
    <mergeCell ref="A28:E28"/>
    <mergeCell ref="A29:E29"/>
    <mergeCell ref="A31:A32"/>
    <mergeCell ref="B31:B32"/>
    <mergeCell ref="C31:C32"/>
    <mergeCell ref="D31:D32"/>
    <mergeCell ref="E31:E32"/>
    <mergeCell ref="A1:E1"/>
    <mergeCell ref="A2:E2"/>
    <mergeCell ref="A3:E3"/>
    <mergeCell ref="A4:A5"/>
    <mergeCell ref="B4:B5"/>
    <mergeCell ref="C4:C5"/>
    <mergeCell ref="D4:D5"/>
    <mergeCell ref="E4:E5"/>
    <mergeCell ref="E133:E134"/>
    <mergeCell ref="A133:A134"/>
    <mergeCell ref="B133:B134"/>
    <mergeCell ref="C133:C134"/>
    <mergeCell ref="D133:D134"/>
    <mergeCell ref="E98:E99"/>
    <mergeCell ref="A98:A99"/>
    <mergeCell ref="B98:B99"/>
    <mergeCell ref="C98:C99"/>
    <mergeCell ref="D98:D99"/>
    <mergeCell ref="C116:C117"/>
    <mergeCell ref="D116:D117"/>
    <mergeCell ref="E116:E117"/>
    <mergeCell ref="A116:A117"/>
    <mergeCell ref="B116:B117"/>
  </mergeCells>
  <printOptions/>
  <pageMargins left="1.3779527559055118" right="0.7480314960629921" top="0.7874015748031497" bottom="0.5905511811023623" header="0.5118110236220472" footer="0.5118110236220472"/>
  <pageSetup horizontalDpi="300" verticalDpi="300" orientation="portrait" paperSize="9" r:id="rId1"/>
  <rowBreaks count="5" manualBreakCount="5">
    <brk id="27" max="255" man="1"/>
    <brk id="60" max="255" man="1"/>
    <brk id="94" max="255" man="1"/>
    <brk id="129" max="255" man="1"/>
    <brk id="1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50" customWidth="1"/>
    <col min="2" max="2" width="35.7109375" style="151" customWidth="1"/>
    <col min="3" max="3" width="9.421875" style="150" customWidth="1"/>
    <col min="4" max="4" width="11.00390625" style="150" customWidth="1"/>
    <col min="5" max="5" width="14.7109375" style="150" customWidth="1"/>
    <col min="6" max="6" width="9.7109375" style="150" customWidth="1"/>
    <col min="7" max="7" width="10.7109375" style="150" customWidth="1"/>
    <col min="8" max="8" width="11.8515625" style="150" customWidth="1"/>
    <col min="9" max="9" width="12.7109375" style="153" customWidth="1"/>
    <col min="10" max="16384" width="9.140625" style="150" customWidth="1"/>
  </cols>
  <sheetData>
    <row r="1" spans="4:6" ht="15">
      <c r="D1" s="4"/>
      <c r="E1" s="152"/>
      <c r="F1" s="4" t="s">
        <v>465</v>
      </c>
    </row>
    <row r="2" spans="1:6" ht="15">
      <c r="A2" s="154"/>
      <c r="D2" s="154"/>
      <c r="F2" s="6" t="s">
        <v>461</v>
      </c>
    </row>
    <row r="3" spans="1:6" ht="15">
      <c r="A3" s="154"/>
      <c r="D3" s="154"/>
      <c r="F3" s="6" t="s">
        <v>462</v>
      </c>
    </row>
    <row r="4" spans="1:3" ht="20.25">
      <c r="A4" s="155" t="s">
        <v>423</v>
      </c>
      <c r="B4" s="155"/>
      <c r="C4" s="155"/>
    </row>
    <row r="5" spans="1:3" ht="15.75" thickBot="1">
      <c r="A5" s="154"/>
      <c r="B5" s="157"/>
      <c r="C5" s="154"/>
    </row>
    <row r="6" spans="1:9" ht="114.75" thickBot="1">
      <c r="A6" s="158" t="s">
        <v>1</v>
      </c>
      <c r="B6" s="159" t="s">
        <v>200</v>
      </c>
      <c r="C6" s="375" t="s">
        <v>412</v>
      </c>
      <c r="D6" s="376" t="s">
        <v>382</v>
      </c>
      <c r="E6" s="377" t="s">
        <v>413</v>
      </c>
      <c r="F6" s="378" t="s">
        <v>386</v>
      </c>
      <c r="G6" s="379" t="s">
        <v>387</v>
      </c>
      <c r="H6" s="297" t="s">
        <v>455</v>
      </c>
      <c r="I6" s="15" t="s">
        <v>392</v>
      </c>
    </row>
    <row r="7" spans="1:9" ht="15" thickBot="1">
      <c r="A7" s="166" t="s">
        <v>379</v>
      </c>
      <c r="B7" s="167" t="s">
        <v>380</v>
      </c>
      <c r="C7" s="397">
        <v>10500</v>
      </c>
      <c r="D7" s="397">
        <v>1423</v>
      </c>
      <c r="E7" s="397"/>
      <c r="F7" s="397"/>
      <c r="G7" s="397">
        <v>1423</v>
      </c>
      <c r="H7" s="397">
        <v>285</v>
      </c>
      <c r="I7" s="169">
        <f>SUM(C7:H7)</f>
        <v>13631</v>
      </c>
    </row>
    <row r="8" spans="1:9" ht="18.75" customHeight="1" thickBot="1">
      <c r="A8" s="188"/>
      <c r="B8" s="189" t="s">
        <v>46</v>
      </c>
      <c r="C8" s="191">
        <f aca="true" t="shared" si="0" ref="C8:H8">SUM(C7)</f>
        <v>10500</v>
      </c>
      <c r="D8" s="191">
        <f t="shared" si="0"/>
        <v>1423</v>
      </c>
      <c r="E8" s="191">
        <f t="shared" si="0"/>
        <v>0</v>
      </c>
      <c r="F8" s="191">
        <f t="shared" si="0"/>
        <v>0</v>
      </c>
      <c r="G8" s="191">
        <f t="shared" si="0"/>
        <v>1423</v>
      </c>
      <c r="H8" s="191">
        <f t="shared" si="0"/>
        <v>285</v>
      </c>
      <c r="I8" s="192">
        <f>SUM(C8:H8)</f>
        <v>13631</v>
      </c>
    </row>
    <row r="9" spans="1:9" ht="14.25">
      <c r="A9" s="193" t="s">
        <v>205</v>
      </c>
      <c r="B9" s="194" t="s">
        <v>407</v>
      </c>
      <c r="C9" s="196">
        <v>7704</v>
      </c>
      <c r="D9" s="196">
        <v>277</v>
      </c>
      <c r="E9" s="196">
        <v>4212</v>
      </c>
      <c r="F9" s="196">
        <v>1559</v>
      </c>
      <c r="G9" s="196">
        <v>2186</v>
      </c>
      <c r="H9" s="196">
        <v>135</v>
      </c>
      <c r="I9" s="169">
        <f>SUM(C9:H9)</f>
        <v>16073</v>
      </c>
    </row>
    <row r="10" spans="1:9" ht="15">
      <c r="A10" s="197"/>
      <c r="B10" s="198" t="s">
        <v>48</v>
      </c>
      <c r="C10" s="200">
        <f aca="true" t="shared" si="1" ref="C10:H10">SUM(C8:C9)</f>
        <v>18204</v>
      </c>
      <c r="D10" s="200">
        <f t="shared" si="1"/>
        <v>1700</v>
      </c>
      <c r="E10" s="200">
        <f t="shared" si="1"/>
        <v>4212</v>
      </c>
      <c r="F10" s="200">
        <f t="shared" si="1"/>
        <v>1559</v>
      </c>
      <c r="G10" s="200">
        <f t="shared" si="1"/>
        <v>3609</v>
      </c>
      <c r="H10" s="200">
        <f t="shared" si="1"/>
        <v>420</v>
      </c>
      <c r="I10" s="164">
        <f>SUM(C10:H10)</f>
        <v>29704</v>
      </c>
    </row>
    <row r="11" spans="2:5" ht="15">
      <c r="B11" s="201"/>
      <c r="E11" s="203"/>
    </row>
    <row r="12" spans="2:5" ht="29.25">
      <c r="B12" s="201" t="s">
        <v>18</v>
      </c>
      <c r="E12" s="203" t="s">
        <v>19</v>
      </c>
    </row>
    <row r="13" spans="1:8" ht="51" customHeight="1" thickBot="1">
      <c r="A13" s="421" t="s">
        <v>424</v>
      </c>
      <c r="B13" s="421"/>
      <c r="C13" s="421"/>
      <c r="D13" s="421"/>
      <c r="E13" s="421"/>
      <c r="F13" s="421"/>
      <c r="G13" s="421"/>
      <c r="H13" s="421"/>
    </row>
    <row r="14" spans="1:9" ht="114.75" thickBot="1">
      <c r="A14" s="158" t="s">
        <v>1</v>
      </c>
      <c r="B14" s="159" t="s">
        <v>200</v>
      </c>
      <c r="C14" s="375" t="s">
        <v>412</v>
      </c>
      <c r="D14" s="376" t="s">
        <v>382</v>
      </c>
      <c r="E14" s="377" t="s">
        <v>413</v>
      </c>
      <c r="F14" s="378" t="s">
        <v>386</v>
      </c>
      <c r="G14" s="379" t="s">
        <v>387</v>
      </c>
      <c r="H14" s="297" t="s">
        <v>455</v>
      </c>
      <c r="I14" s="15" t="s">
        <v>392</v>
      </c>
    </row>
    <row r="15" spans="1:9" ht="30.75" thickBot="1">
      <c r="A15" s="208" t="s">
        <v>14</v>
      </c>
      <c r="B15" s="209" t="s">
        <v>74</v>
      </c>
      <c r="C15" s="207"/>
      <c r="D15" s="207">
        <v>1700</v>
      </c>
      <c r="E15" s="207"/>
      <c r="F15" s="207"/>
      <c r="G15" s="207"/>
      <c r="H15" s="207"/>
      <c r="I15" s="192">
        <f aca="true" t="shared" si="2" ref="I15:I20">SUM(C15:H15)</f>
        <v>1700</v>
      </c>
    </row>
    <row r="16" spans="1:9" ht="15.75" thickBot="1">
      <c r="A16" s="380" t="s">
        <v>12</v>
      </c>
      <c r="B16" s="381" t="s">
        <v>86</v>
      </c>
      <c r="C16" s="207">
        <v>3500</v>
      </c>
      <c r="D16" s="207"/>
      <c r="E16" s="207">
        <v>4212</v>
      </c>
      <c r="F16" s="207"/>
      <c r="G16" s="207"/>
      <c r="H16" s="207">
        <v>420</v>
      </c>
      <c r="I16" s="192">
        <f t="shared" si="2"/>
        <v>8132</v>
      </c>
    </row>
    <row r="17" spans="1:9" ht="15.75" thickBot="1">
      <c r="A17" s="208" t="s">
        <v>96</v>
      </c>
      <c r="B17" s="209" t="s">
        <v>9</v>
      </c>
      <c r="C17" s="207">
        <v>14104</v>
      </c>
      <c r="D17" s="207"/>
      <c r="E17" s="207"/>
      <c r="F17" s="207">
        <v>1559</v>
      </c>
      <c r="G17" s="207"/>
      <c r="H17" s="207"/>
      <c r="I17" s="192">
        <f t="shared" si="2"/>
        <v>15663</v>
      </c>
    </row>
    <row r="18" spans="1:9" ht="15.75" thickBot="1">
      <c r="A18" s="380" t="s">
        <v>8</v>
      </c>
      <c r="B18" s="381" t="s">
        <v>116</v>
      </c>
      <c r="C18" s="207">
        <v>600</v>
      </c>
      <c r="D18" s="207"/>
      <c r="E18" s="207"/>
      <c r="F18" s="207"/>
      <c r="G18" s="207">
        <v>3609</v>
      </c>
      <c r="H18" s="207"/>
      <c r="I18" s="192">
        <f t="shared" si="2"/>
        <v>4209</v>
      </c>
    </row>
    <row r="19" spans="1:9" ht="15.75" thickBot="1">
      <c r="A19" s="210"/>
      <c r="B19" s="211" t="s">
        <v>16</v>
      </c>
      <c r="C19" s="207">
        <f aca="true" t="shared" si="3" ref="C19:H19">SUM(C15:C18)</f>
        <v>18204</v>
      </c>
      <c r="D19" s="207">
        <f t="shared" si="3"/>
        <v>1700</v>
      </c>
      <c r="E19" s="207">
        <f t="shared" si="3"/>
        <v>4212</v>
      </c>
      <c r="F19" s="207">
        <f t="shared" si="3"/>
        <v>1559</v>
      </c>
      <c r="G19" s="207">
        <f t="shared" si="3"/>
        <v>3609</v>
      </c>
      <c r="H19" s="207">
        <f t="shared" si="3"/>
        <v>420</v>
      </c>
      <c r="I19" s="192">
        <f t="shared" si="2"/>
        <v>29704</v>
      </c>
    </row>
    <row r="20" spans="1:9" ht="15">
      <c r="A20" s="150" t="s">
        <v>205</v>
      </c>
      <c r="B20" s="218" t="s">
        <v>207</v>
      </c>
      <c r="C20" s="202"/>
      <c r="I20" s="217">
        <f t="shared" si="2"/>
        <v>0</v>
      </c>
    </row>
    <row r="21" spans="2:9" ht="15">
      <c r="B21" s="340"/>
      <c r="C21" s="220"/>
      <c r="D21" s="220"/>
      <c r="E21" s="220"/>
      <c r="F21" s="220"/>
      <c r="G21" s="220"/>
      <c r="H21" s="220"/>
      <c r="I21" s="217"/>
    </row>
    <row r="22" spans="2:5" ht="29.25">
      <c r="B22" s="201" t="s">
        <v>18</v>
      </c>
      <c r="E22" s="203" t="s">
        <v>19</v>
      </c>
    </row>
    <row r="23" spans="1:6" ht="42" customHeight="1" thickBot="1">
      <c r="A23" s="420" t="s">
        <v>425</v>
      </c>
      <c r="B23" s="420"/>
      <c r="C23" s="420"/>
      <c r="D23" s="420"/>
      <c r="E23" s="420"/>
      <c r="F23" s="420"/>
    </row>
    <row r="24" spans="1:9" ht="90" customHeight="1" thickBot="1">
      <c r="A24" s="158" t="s">
        <v>1</v>
      </c>
      <c r="B24" s="159" t="s">
        <v>200</v>
      </c>
      <c r="C24" s="375" t="s">
        <v>412</v>
      </c>
      <c r="D24" s="376" t="s">
        <v>382</v>
      </c>
      <c r="E24" s="377" t="s">
        <v>413</v>
      </c>
      <c r="F24" s="378" t="s">
        <v>386</v>
      </c>
      <c r="G24" s="379" t="s">
        <v>387</v>
      </c>
      <c r="H24" s="297" t="s">
        <v>455</v>
      </c>
      <c r="I24" s="15" t="s">
        <v>392</v>
      </c>
    </row>
    <row r="25" spans="1:9" ht="15.75" thickBot="1">
      <c r="A25" s="233">
        <v>2000</v>
      </c>
      <c r="B25" s="234" t="s">
        <v>155</v>
      </c>
      <c r="C25" s="236">
        <f aca="true" t="shared" si="4" ref="C25:I25">SUM(C26:C27)</f>
        <v>12768</v>
      </c>
      <c r="D25" s="236">
        <f t="shared" si="4"/>
        <v>1700</v>
      </c>
      <c r="E25" s="236">
        <f t="shared" si="4"/>
        <v>4212</v>
      </c>
      <c r="F25" s="236">
        <f t="shared" si="4"/>
        <v>1559</v>
      </c>
      <c r="G25" s="236">
        <f t="shared" si="4"/>
        <v>2287</v>
      </c>
      <c r="H25" s="236">
        <f t="shared" si="4"/>
        <v>0</v>
      </c>
      <c r="I25" s="238">
        <f t="shared" si="4"/>
        <v>22526</v>
      </c>
    </row>
    <row r="26" spans="1:9" ht="15">
      <c r="A26" s="239">
        <v>2200</v>
      </c>
      <c r="B26" s="240" t="s">
        <v>156</v>
      </c>
      <c r="C26" s="382">
        <v>6584</v>
      </c>
      <c r="D26" s="241">
        <v>7</v>
      </c>
      <c r="E26" s="241">
        <v>3630</v>
      </c>
      <c r="F26" s="241">
        <v>832</v>
      </c>
      <c r="G26" s="241">
        <v>1016</v>
      </c>
      <c r="H26" s="241"/>
      <c r="I26" s="243">
        <f>SUM(C26:H26)</f>
        <v>12069</v>
      </c>
    </row>
    <row r="27" spans="1:9" ht="45">
      <c r="A27" s="244">
        <v>2300</v>
      </c>
      <c r="B27" s="245" t="s">
        <v>157</v>
      </c>
      <c r="C27" s="247">
        <v>6184</v>
      </c>
      <c r="D27" s="247">
        <v>1693</v>
      </c>
      <c r="E27" s="247">
        <v>582</v>
      </c>
      <c r="F27" s="247">
        <v>727</v>
      </c>
      <c r="G27" s="247">
        <v>1271</v>
      </c>
      <c r="H27" s="247"/>
      <c r="I27" s="249">
        <f>SUM(C27:H27)</f>
        <v>10457</v>
      </c>
    </row>
    <row r="28" spans="1:9" ht="15">
      <c r="A28" s="244">
        <v>5200</v>
      </c>
      <c r="B28" s="245" t="s">
        <v>163</v>
      </c>
      <c r="C28" s="247">
        <v>5436</v>
      </c>
      <c r="D28" s="247"/>
      <c r="E28" s="247"/>
      <c r="F28" s="247"/>
      <c r="G28" s="247"/>
      <c r="H28" s="247">
        <v>420</v>
      </c>
      <c r="I28" s="250">
        <f>SUM(C28:H28)</f>
        <v>5856</v>
      </c>
    </row>
    <row r="29" spans="1:9" ht="15.75" thickBot="1">
      <c r="A29" s="244">
        <v>6300</v>
      </c>
      <c r="B29" s="245" t="s">
        <v>199</v>
      </c>
      <c r="C29" s="247"/>
      <c r="D29" s="247"/>
      <c r="E29" s="247"/>
      <c r="F29" s="247"/>
      <c r="G29" s="247">
        <v>1322</v>
      </c>
      <c r="H29" s="247"/>
      <c r="I29" s="250">
        <f>SUM(C29:H29)</f>
        <v>1322</v>
      </c>
    </row>
    <row r="30" spans="1:9" ht="15.75" thickBot="1">
      <c r="A30" s="251"/>
      <c r="B30" s="252" t="s">
        <v>165</v>
      </c>
      <c r="C30" s="236">
        <f aca="true" t="shared" si="5" ref="C30:I30">SUM(C25:C25,C28:C29)</f>
        <v>18204</v>
      </c>
      <c r="D30" s="236">
        <f t="shared" si="5"/>
        <v>1700</v>
      </c>
      <c r="E30" s="236">
        <f t="shared" si="5"/>
        <v>4212</v>
      </c>
      <c r="F30" s="236">
        <f t="shared" si="5"/>
        <v>1559</v>
      </c>
      <c r="G30" s="236">
        <f t="shared" si="5"/>
        <v>3609</v>
      </c>
      <c r="H30" s="236">
        <f t="shared" si="5"/>
        <v>420</v>
      </c>
      <c r="I30" s="238">
        <f t="shared" si="5"/>
        <v>29704</v>
      </c>
    </row>
    <row r="31" ht="15">
      <c r="B31" s="150"/>
    </row>
    <row r="32" spans="1:4" ht="15">
      <c r="A32" s="216"/>
      <c r="B32" s="253"/>
      <c r="C32" s="215"/>
      <c r="D32" s="216"/>
    </row>
    <row r="33" spans="1:4" ht="15">
      <c r="A33" s="216"/>
      <c r="B33" s="253"/>
      <c r="C33" s="215"/>
      <c r="D33" s="216"/>
    </row>
    <row r="34" spans="1:4" ht="15">
      <c r="A34" s="216"/>
      <c r="B34" s="253"/>
      <c r="C34" s="215"/>
      <c r="D34" s="216"/>
    </row>
    <row r="35" spans="1:5" ht="29.25">
      <c r="A35" s="216"/>
      <c r="B35" s="254" t="s">
        <v>18</v>
      </c>
      <c r="C35" s="215"/>
      <c r="D35" s="216"/>
      <c r="E35" s="203" t="s">
        <v>19</v>
      </c>
    </row>
    <row r="42" spans="1:3" ht="20.25">
      <c r="A42" s="429"/>
      <c r="B42" s="429"/>
      <c r="C42" s="429"/>
    </row>
    <row r="43" spans="1:3" ht="15">
      <c r="A43" s="154"/>
      <c r="B43" s="157"/>
      <c r="C43" s="154"/>
    </row>
    <row r="44" spans="1:4" ht="15">
      <c r="A44" s="256"/>
      <c r="B44" s="257"/>
      <c r="C44" s="259"/>
      <c r="D44" s="165"/>
    </row>
    <row r="45" spans="1:3" ht="15">
      <c r="A45" s="256"/>
      <c r="B45" s="257"/>
      <c r="C45" s="260"/>
    </row>
    <row r="46" ht="15">
      <c r="B46" s="201"/>
    </row>
    <row r="47" ht="15">
      <c r="B47" s="201"/>
    </row>
    <row r="48" ht="15">
      <c r="B48" s="201"/>
    </row>
    <row r="49" spans="1:2" ht="15">
      <c r="A49" s="256"/>
      <c r="B49" s="257"/>
    </row>
  </sheetData>
  <sheetProtection/>
  <mergeCells count="3">
    <mergeCell ref="A42:C42"/>
    <mergeCell ref="A23:F23"/>
    <mergeCell ref="A13:H13"/>
  </mergeCells>
  <printOptions/>
  <pageMargins left="0.5905511811023623" right="0.15748031496062992" top="1.1811023622047245" bottom="0.5905511811023623" header="0.5118110236220472" footer="0.5118110236220472"/>
  <pageSetup fitToHeight="0" fitToWidth="1" horizontalDpi="600" verticalDpi="600" orientation="landscape" paperSize="9" r:id="rId1"/>
  <rowBreaks count="2" manualBreakCount="2">
    <brk id="12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LAusjuka</cp:lastModifiedBy>
  <cp:lastPrinted>2014-01-27T14:57:57Z</cp:lastPrinted>
  <dcterms:created xsi:type="dcterms:W3CDTF">2004-01-19T11:58:34Z</dcterms:created>
  <dcterms:modified xsi:type="dcterms:W3CDTF">2014-01-31T12:19:51Z</dcterms:modified>
  <cp:category/>
  <cp:version/>
  <cp:contentType/>
  <cp:contentStatus/>
</cp:coreProperties>
</file>