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Sapoznikovs\Desktop\2021\Deleģēšanas līgums\"/>
    </mc:Choice>
  </mc:AlternateContent>
  <bookViews>
    <workbookView xWindow="0" yWindow="0" windowWidth="28800" windowHeight="14415"/>
  </bookViews>
  <sheets>
    <sheet name="2019" sheetId="4" r:id="rId1"/>
  </sheets>
  <definedNames>
    <definedName name="_xlnm.Print_Area" localSheetId="0">'2019'!$A$1:$P$44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4" l="1"/>
  <c r="K12" i="4" l="1"/>
  <c r="K8" i="4"/>
  <c r="J20" i="4" l="1"/>
  <c r="P20" i="4" s="1"/>
  <c r="J24" i="4"/>
  <c r="J21" i="4"/>
  <c r="J18" i="4"/>
  <c r="J17" i="4"/>
  <c r="J15" i="4"/>
  <c r="J14" i="4"/>
  <c r="J29" i="4"/>
  <c r="J22" i="4"/>
  <c r="J13" i="4"/>
  <c r="P13" i="4" s="1"/>
  <c r="K32" i="4"/>
  <c r="K33" i="4" s="1"/>
  <c r="K36" i="4" s="1"/>
  <c r="K37" i="4" s="1"/>
  <c r="K39" i="4" s="1"/>
  <c r="F28" i="4"/>
  <c r="H12" i="4"/>
  <c r="H22" i="4"/>
  <c r="J12" i="4"/>
  <c r="M12" i="4"/>
  <c r="L22" i="4"/>
  <c r="M8" i="4"/>
  <c r="M30" i="4"/>
  <c r="M25" i="4"/>
  <c r="J19" i="4"/>
  <c r="P19" i="4" s="1"/>
  <c r="J27" i="4"/>
  <c r="P27" i="4" s="1"/>
  <c r="L8" i="4"/>
  <c r="L32" i="4" s="1"/>
  <c r="L33" i="4" s="1"/>
  <c r="L36" i="4" s="1"/>
  <c r="L37" i="4" s="1"/>
  <c r="L39" i="4" s="1"/>
  <c r="H11" i="4"/>
  <c r="J25" i="4"/>
  <c r="J8" i="4"/>
  <c r="J32" i="4" s="1"/>
  <c r="H8" i="4"/>
  <c r="H25" i="4"/>
  <c r="H32" i="4" s="1"/>
  <c r="I36" i="4"/>
  <c r="I37" i="4" s="1"/>
  <c r="I39" i="4" s="1"/>
  <c r="P35" i="4"/>
  <c r="P36" i="4" s="1"/>
  <c r="P37" i="4" s="1"/>
  <c r="P39" i="4" s="1"/>
  <c r="O32" i="4"/>
  <c r="O33" i="4" s="1"/>
  <c r="O36" i="4" s="1"/>
  <c r="O37" i="4" s="1"/>
  <c r="O39" i="4" s="1"/>
  <c r="N32" i="4"/>
  <c r="N33" i="4" s="1"/>
  <c r="N36" i="4" s="1"/>
  <c r="N37" i="4" s="1"/>
  <c r="N39" i="4" s="1"/>
  <c r="I32" i="4"/>
  <c r="G32" i="4"/>
  <c r="G33" i="4" s="1"/>
  <c r="G36" i="4" s="1"/>
  <c r="G37" i="4" s="1"/>
  <c r="G39" i="4" s="1"/>
  <c r="F32" i="4"/>
  <c r="F33" i="4" s="1"/>
  <c r="F36" i="4" s="1"/>
  <c r="F37" i="4" s="1"/>
  <c r="F39" i="4" s="1"/>
  <c r="E32" i="4"/>
  <c r="E33" i="4" s="1"/>
  <c r="E36" i="4" s="1"/>
  <c r="E37" i="4" s="1"/>
  <c r="E39" i="4" s="1"/>
  <c r="D32" i="4"/>
  <c r="D33" i="4" s="1"/>
  <c r="D36" i="4" s="1"/>
  <c r="D37" i="4" s="1"/>
  <c r="D39" i="4" s="1"/>
  <c r="C32" i="4"/>
  <c r="P31" i="4"/>
  <c r="P30" i="4"/>
  <c r="P29" i="4"/>
  <c r="P28" i="4"/>
  <c r="P26" i="4"/>
  <c r="P24" i="4"/>
  <c r="P23" i="4"/>
  <c r="P21" i="4"/>
  <c r="P18" i="4"/>
  <c r="P17" i="4"/>
  <c r="P16" i="4"/>
  <c r="P15" i="4"/>
  <c r="P14" i="4"/>
  <c r="P11" i="4"/>
  <c r="P10" i="4"/>
  <c r="P9" i="4"/>
  <c r="P22" i="4" l="1"/>
  <c r="M32" i="4"/>
  <c r="P32" i="4" s="1"/>
  <c r="J33" i="4"/>
  <c r="J36" i="4" s="1"/>
  <c r="J37" i="4" s="1"/>
  <c r="J39" i="4" s="1"/>
  <c r="P8" i="4"/>
  <c r="H33" i="4"/>
  <c r="H36" i="4" s="1"/>
  <c r="H37" i="4" s="1"/>
  <c r="H39" i="4" s="1"/>
  <c r="P25" i="4"/>
  <c r="C33" i="4"/>
  <c r="C36" i="4" s="1"/>
  <c r="C37" i="4" s="1"/>
  <c r="C39" i="4" s="1"/>
  <c r="P12" i="4"/>
  <c r="M33" i="4" l="1"/>
  <c r="M36" i="4" s="1"/>
  <c r="M37" i="4" s="1"/>
  <c r="M39" i="4" s="1"/>
</calcChain>
</file>

<file path=xl/sharedStrings.xml><?xml version="1.0" encoding="utf-8"?>
<sst xmlns="http://schemas.openxmlformats.org/spreadsheetml/2006/main" count="57" uniqueCount="56">
  <si>
    <t>Ekonomiskās klasifikācijas kods</t>
  </si>
  <si>
    <t>Izdevumi kopā</t>
  </si>
  <si>
    <t>Izdevumi atlīdzībai, t.sk.:</t>
  </si>
  <si>
    <t>Izdevumi precēm un pakalpojumiem, t.sk.:</t>
  </si>
  <si>
    <t>tehniskajiem darbiniekiem (pašvaldības finansējums)</t>
  </si>
  <si>
    <t>pedagoģiskiem darbiniekiem (pašvaldības finansējums)</t>
  </si>
  <si>
    <t>pedagoģiskiem darbiniekiem (valsts dotācija)</t>
  </si>
  <si>
    <t>komandējumiem</t>
  </si>
  <si>
    <t>sakaru pakalpojumiem</t>
  </si>
  <si>
    <t>ēku uzturēšanai (komunālie maksājumi, apkure, remonts, telpu uzturēšana, higiēna)</t>
  </si>
  <si>
    <t>inventāram</t>
  </si>
  <si>
    <t>iestādes administratīvajiem izdevumiem</t>
  </si>
  <si>
    <t>informācijas tehnoloģijām (arī tehnikas uzturēšanai)</t>
  </si>
  <si>
    <t>ēdināšanai, gulēšanai, traukiem</t>
  </si>
  <si>
    <t>biroja precēm</t>
  </si>
  <si>
    <t>mācību līdzekļiem (pašvaldības finansējums)</t>
  </si>
  <si>
    <t>mācību līdzekļiem (valsts dotācija)</t>
  </si>
  <si>
    <t>bibliotēku krājumiem (pašvaldības finansējums)</t>
  </si>
  <si>
    <t>bibliotēku krājumiem (valsts dotācija)</t>
  </si>
  <si>
    <t>Iegudījumi un pamatlīdzekļi, t.sk.:</t>
  </si>
  <si>
    <t>tehnikas iegādei</t>
  </si>
  <si>
    <t>Naudas balvas skolēniem</t>
  </si>
  <si>
    <t>kapitālieguldījumiem ēkās</t>
  </si>
  <si>
    <t>Transfertiem iestādes vajadzībām citām pašvaldībām</t>
  </si>
  <si>
    <t>Izdevumi uz 1 izglītojamo mēnesī savstarpējiem norēķiniem</t>
  </si>
  <si>
    <t>Izdevumi bez dotācijām (pašvaldības finansējums)</t>
  </si>
  <si>
    <t>Pašvaldības finansējums uz 1 izglītojamo gadā</t>
  </si>
  <si>
    <t>Pašvaldības finansējums uz 1 izglītojamo mēnesī</t>
  </si>
  <si>
    <t>Izdevumu nosaukums</t>
  </si>
  <si>
    <t>Izdevumi savstarpējiem norēķiniem kopā</t>
  </si>
  <si>
    <t>Savstarpējo norēķinu maksājumi citām pašvaldībām</t>
  </si>
  <si>
    <t>Pavisam izglītībai</t>
  </si>
  <si>
    <t>Savstarpējos izdevumos neiekļautie pašvaldības izdevumi uz 1 izgītojamo mēnesī *</t>
  </si>
  <si>
    <t>ēdināšanai (valsts dotācija)</t>
  </si>
  <si>
    <t>Izdevumi brīvpusdienām**</t>
  </si>
  <si>
    <t>** Pašvaldības izdevumi, apmaksājot brīvpusdienas</t>
  </si>
  <si>
    <t>Ogres 1.vidusskola</t>
  </si>
  <si>
    <t>Ogres sākumskola</t>
  </si>
  <si>
    <t>Ogres valsts ģimnāzija</t>
  </si>
  <si>
    <t>Jaunogres vidusskola</t>
  </si>
  <si>
    <t>Suntažu vidusskola</t>
  </si>
  <si>
    <t>Madlienas vidusskola</t>
  </si>
  <si>
    <t>Ķeipenes pamatskola</t>
  </si>
  <si>
    <t>Taurupes pamatskola</t>
  </si>
  <si>
    <t>Suntažu pamatskola rehabilitācijas centrs</t>
  </si>
  <si>
    <t>Ogresgala pamatskola</t>
  </si>
  <si>
    <t>nav</t>
  </si>
  <si>
    <t>Izglītojamo skaits 01.01.2020</t>
  </si>
  <si>
    <t>Ogres novada pašvaldības izglītības iestāžu izdevumi izglītībai  (pēc 2019.gada naudas plūsmas izdevumiem)</t>
  </si>
  <si>
    <t>Tai skaitā Krapes filiāle</t>
  </si>
  <si>
    <t>Savstarp. norēķ.ar 2020. g. iekļauj pašv. ēdin izdev. tekoš. gada plānotos, jo valsts dod tikai 50%, tāpēc rodas lielāki izdev.</t>
  </si>
  <si>
    <r>
      <t>transportam (</t>
    </r>
    <r>
      <rPr>
        <b/>
        <u/>
        <sz val="10"/>
        <color theme="1"/>
        <rFont val="Arial"/>
        <family val="2"/>
        <charset val="186"/>
      </rPr>
      <t>degviela</t>
    </r>
    <r>
      <rPr>
        <sz val="10"/>
        <color theme="1"/>
        <rFont val="Arial"/>
        <family val="2"/>
        <charset val="186"/>
      </rPr>
      <t>, remonts, apskates, apdrošināšana)</t>
    </r>
  </si>
  <si>
    <t xml:space="preserve">* - savstarpējos norēķinos neiekļautie izdevumi: </t>
  </si>
  <si>
    <t xml:space="preserve">3.pielikums </t>
  </si>
  <si>
    <t>Izmaksu salīdzinājums par Ogres novada pašvaldības izdevumiem Madlienas vidusskolas Krapes filiālē</t>
  </si>
  <si>
    <t>___.___.2020. Deleģēsanas līgumam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</si>
</sst>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10"/>
      <color rgb="FF7030A0"/>
      <name val="Arial"/>
      <family val="2"/>
      <charset val="186"/>
    </font>
    <font>
      <sz val="8"/>
      <color rgb="FF1F497D"/>
      <name val="Calibri"/>
      <family val="2"/>
      <charset val="186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7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2" fontId="23" fillId="36" borderId="10" xfId="0" applyNumberFormat="1" applyFont="1" applyFill="1" applyBorder="1" applyAlignment="1">
      <alignment horizontal="center" vertical="center" wrapText="1"/>
    </xf>
    <xf numFmtId="2" fontId="18" fillId="35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2" fontId="22" fillId="34" borderId="10" xfId="0" applyNumberFormat="1" applyFont="1" applyFill="1" applyBorder="1" applyAlignment="1">
      <alignment horizontal="center" vertical="center" wrapText="1"/>
    </xf>
    <xf numFmtId="2" fontId="23" fillId="34" borderId="10" xfId="0" applyNumberFormat="1" applyFont="1" applyFill="1" applyBorder="1" applyAlignment="1">
      <alignment horizontal="center" vertical="center" wrapText="1"/>
    </xf>
    <xf numFmtId="2" fontId="21" fillId="34" borderId="10" xfId="0" applyNumberFormat="1" applyFont="1" applyFill="1" applyBorder="1" applyAlignment="1">
      <alignment horizontal="center" vertical="center" wrapText="1"/>
    </xf>
    <xf numFmtId="2" fontId="18" fillId="34" borderId="11" xfId="0" applyNumberFormat="1" applyFont="1" applyFill="1" applyBorder="1" applyAlignment="1">
      <alignment horizontal="center" vertical="center" wrapText="1"/>
    </xf>
    <xf numFmtId="2" fontId="21" fillId="35" borderId="10" xfId="0" applyNumberFormat="1" applyFont="1" applyFill="1" applyBorder="1" applyAlignment="1">
      <alignment horizontal="center" vertical="center" wrapText="1"/>
    </xf>
    <xf numFmtId="2" fontId="21" fillId="37" borderId="10" xfId="0" applyNumberFormat="1" applyFont="1" applyFill="1" applyBorder="1" applyAlignment="1">
      <alignment horizontal="center" vertical="center" wrapText="1"/>
    </xf>
    <xf numFmtId="2" fontId="23" fillId="38" borderId="10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 wrapText="1"/>
    </xf>
    <xf numFmtId="2" fontId="25" fillId="0" borderId="10" xfId="0" applyNumberFormat="1" applyFont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center" vertical="center" wrapText="1"/>
    </xf>
    <xf numFmtId="2" fontId="18" fillId="35" borderId="10" xfId="0" applyNumberFormat="1" applyFont="1" applyFill="1" applyBorder="1" applyAlignment="1">
      <alignment horizontal="center" vertical="center" wrapText="1"/>
    </xf>
    <xf numFmtId="2" fontId="18" fillId="35" borderId="21" xfId="0" applyNumberFormat="1" applyFont="1" applyFill="1" applyBorder="1" applyAlignment="1">
      <alignment horizontal="center" vertical="center" wrapText="1"/>
    </xf>
    <xf numFmtId="2" fontId="18" fillId="0" borderId="14" xfId="0" applyNumberFormat="1" applyFont="1" applyBorder="1" applyAlignment="1">
      <alignment horizontal="center" vertical="center" wrapText="1"/>
    </xf>
    <xf numFmtId="2" fontId="20" fillId="0" borderId="14" xfId="0" applyNumberFormat="1" applyFont="1" applyBorder="1" applyAlignment="1">
      <alignment horizontal="center" vertical="center" wrapText="1"/>
    </xf>
    <xf numFmtId="2" fontId="18" fillId="34" borderId="14" xfId="0" applyNumberFormat="1" applyFont="1" applyFill="1" applyBorder="1" applyAlignment="1">
      <alignment horizontal="center" vertical="center" wrapText="1"/>
    </xf>
    <xf numFmtId="2" fontId="18" fillId="35" borderId="14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8" fillId="36" borderId="17" xfId="0" applyFont="1" applyFill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2" fontId="18" fillId="33" borderId="14" xfId="0" applyNumberFormat="1" applyFont="1" applyFill="1" applyBorder="1" applyAlignment="1">
      <alignment horizontal="center" vertical="center" wrapText="1"/>
    </xf>
    <xf numFmtId="2" fontId="20" fillId="33" borderId="1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zoomScaleNormal="100" workbookViewId="0">
      <pane xSplit="2" ySplit="7" topLeftCell="J14" activePane="bottomRight" state="frozen"/>
      <selection pane="topRight" activeCell="C1" sqref="C1"/>
      <selection pane="bottomLeft" activeCell="A4" sqref="A4"/>
      <selection pane="bottomRight" activeCell="V32" sqref="V32"/>
    </sheetView>
  </sheetViews>
  <sheetFormatPr defaultColWidth="9.140625" defaultRowHeight="12.75" x14ac:dyDescent="0.25"/>
  <cols>
    <col min="1" max="1" width="20.85546875" style="6" customWidth="1"/>
    <col min="2" max="2" width="54.5703125" style="6" customWidth="1"/>
    <col min="3" max="3" width="25.5703125" style="6" hidden="1" customWidth="1"/>
    <col min="4" max="4" width="16.140625" style="6" hidden="1" customWidth="1"/>
    <col min="5" max="6" width="14.85546875" style="6" hidden="1" customWidth="1"/>
    <col min="7" max="7" width="14" style="6" hidden="1" customWidth="1"/>
    <col min="8" max="8" width="20.5703125" style="6" hidden="1" customWidth="1"/>
    <col min="9" max="9" width="19.28515625" style="6" hidden="1" customWidth="1"/>
    <col min="10" max="11" width="21.28515625" style="6" customWidth="1"/>
    <col min="12" max="12" width="19.85546875" style="6" hidden="1" customWidth="1"/>
    <col min="13" max="13" width="17" style="6" hidden="1" customWidth="1"/>
    <col min="14" max="14" width="25.5703125" style="6" hidden="1" customWidth="1"/>
    <col min="15" max="15" width="18.5703125" style="6" hidden="1" customWidth="1"/>
    <col min="16" max="16" width="20.140625" style="6" hidden="1" customWidth="1"/>
    <col min="17" max="17" width="12.85546875" style="6" bestFit="1" customWidth="1"/>
    <col min="18" max="16384" width="9.140625" style="6"/>
  </cols>
  <sheetData>
    <row r="1" spans="1:17" x14ac:dyDescent="0.25">
      <c r="J1" s="43"/>
      <c r="K1" s="43" t="s">
        <v>53</v>
      </c>
    </row>
    <row r="2" spans="1:17" ht="15" customHeight="1" x14ac:dyDescent="0.25">
      <c r="J2" s="49" t="s">
        <v>55</v>
      </c>
      <c r="K2" s="49"/>
    </row>
    <row r="3" spans="1:17" ht="15" customHeight="1" x14ac:dyDescent="0.25">
      <c r="J3" s="43"/>
      <c r="K3" s="43"/>
    </row>
    <row r="4" spans="1:17" ht="30" customHeight="1" x14ac:dyDescent="0.25">
      <c r="B4" s="6" t="s">
        <v>54</v>
      </c>
      <c r="J4" s="43"/>
      <c r="K4" s="43"/>
    </row>
    <row r="5" spans="1:17" s="1" customFormat="1" ht="41.25" customHeight="1" x14ac:dyDescent="0.25">
      <c r="A5" s="52" t="s">
        <v>48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7" spans="1:17" ht="51" x14ac:dyDescent="0.25">
      <c r="A7" s="2" t="s">
        <v>0</v>
      </c>
      <c r="B7" s="2" t="s">
        <v>28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45</v>
      </c>
      <c r="H7" s="3" t="s">
        <v>40</v>
      </c>
      <c r="I7" s="3" t="s">
        <v>44</v>
      </c>
      <c r="J7" s="4" t="s">
        <v>41</v>
      </c>
      <c r="K7" s="5" t="s">
        <v>49</v>
      </c>
      <c r="L7" s="3" t="s">
        <v>42</v>
      </c>
      <c r="M7" s="3" t="s">
        <v>43</v>
      </c>
      <c r="N7" s="2" t="s">
        <v>30</v>
      </c>
      <c r="O7" s="2" t="s">
        <v>34</v>
      </c>
      <c r="P7" s="2" t="s">
        <v>31</v>
      </c>
    </row>
    <row r="8" spans="1:17" x14ac:dyDescent="0.25">
      <c r="A8" s="7">
        <v>1000</v>
      </c>
      <c r="B8" s="7" t="s">
        <v>2</v>
      </c>
      <c r="C8" s="8">
        <v>2244749</v>
      </c>
      <c r="D8" s="8">
        <v>1069079</v>
      </c>
      <c r="E8" s="8">
        <v>974249</v>
      </c>
      <c r="F8" s="8">
        <v>1062075</v>
      </c>
      <c r="G8" s="8">
        <v>378639</v>
      </c>
      <c r="H8" s="9">
        <f>139156+50743+405024+77415+79406+12518</f>
        <v>764262</v>
      </c>
      <c r="I8" s="9"/>
      <c r="J8" s="9">
        <f>133930+347228+29280</f>
        <v>510438</v>
      </c>
      <c r="K8" s="10">
        <f>K9+K11</f>
        <v>42131</v>
      </c>
      <c r="L8" s="9">
        <f>162029+126306</f>
        <v>288335</v>
      </c>
      <c r="M8" s="9">
        <f>105899+72110+41718+115128+168583</f>
        <v>503438</v>
      </c>
      <c r="N8" s="9"/>
      <c r="O8" s="9"/>
      <c r="P8" s="11">
        <f t="shared" ref="P8:P32" si="0">SUM(C8:O8)</f>
        <v>7837395</v>
      </c>
      <c r="Q8" s="12"/>
    </row>
    <row r="9" spans="1:17" x14ac:dyDescent="0.25">
      <c r="A9" s="7"/>
      <c r="B9" s="7" t="s">
        <v>4</v>
      </c>
      <c r="C9" s="8"/>
      <c r="D9" s="8"/>
      <c r="E9" s="13"/>
      <c r="F9" s="8"/>
      <c r="G9" s="8"/>
      <c r="H9" s="9"/>
      <c r="I9" s="9"/>
      <c r="J9" s="9"/>
      <c r="K9" s="14">
        <v>36282</v>
      </c>
      <c r="L9" s="9"/>
      <c r="M9" s="9"/>
      <c r="N9" s="9"/>
      <c r="O9" s="9"/>
      <c r="P9" s="11">
        <f t="shared" si="0"/>
        <v>36282</v>
      </c>
    </row>
    <row r="10" spans="1:17" x14ac:dyDescent="0.25">
      <c r="A10" s="7"/>
      <c r="B10" s="7" t="s">
        <v>5</v>
      </c>
      <c r="C10" s="8"/>
      <c r="D10" s="8"/>
      <c r="E10" s="14"/>
      <c r="F10" s="8"/>
      <c r="G10" s="8"/>
      <c r="H10" s="9"/>
      <c r="I10" s="9"/>
      <c r="J10" s="9"/>
      <c r="K10" s="10"/>
      <c r="L10" s="9"/>
      <c r="M10" s="9"/>
      <c r="N10" s="9"/>
      <c r="O10" s="9"/>
      <c r="P10" s="11">
        <f t="shared" si="0"/>
        <v>0</v>
      </c>
    </row>
    <row r="11" spans="1:17" x14ac:dyDescent="0.25">
      <c r="A11" s="7"/>
      <c r="B11" s="15" t="s">
        <v>6</v>
      </c>
      <c r="C11" s="16">
        <v>1856450</v>
      </c>
      <c r="D11" s="16">
        <v>932809</v>
      </c>
      <c r="E11" s="16">
        <v>829905</v>
      </c>
      <c r="F11" s="16">
        <v>833709</v>
      </c>
      <c r="G11" s="16">
        <v>254607</v>
      </c>
      <c r="H11" s="17">
        <f>323470+81554</f>
        <v>405024</v>
      </c>
      <c r="I11" s="17"/>
      <c r="J11" s="17">
        <v>347228</v>
      </c>
      <c r="K11" s="10">
        <v>5849</v>
      </c>
      <c r="L11" s="17">
        <v>126306</v>
      </c>
      <c r="M11" s="17">
        <v>168583</v>
      </c>
      <c r="N11" s="18"/>
      <c r="O11" s="18"/>
      <c r="P11" s="19">
        <f t="shared" si="0"/>
        <v>5760470</v>
      </c>
    </row>
    <row r="12" spans="1:17" x14ac:dyDescent="0.25">
      <c r="A12" s="7">
        <v>2000</v>
      </c>
      <c r="B12" s="7" t="s">
        <v>3</v>
      </c>
      <c r="C12" s="8">
        <v>356690</v>
      </c>
      <c r="D12" s="8">
        <v>323797</v>
      </c>
      <c r="E12" s="8">
        <v>232555</v>
      </c>
      <c r="F12" s="8">
        <v>184381</v>
      </c>
      <c r="G12" s="8">
        <v>73036</v>
      </c>
      <c r="H12" s="9">
        <f>128802+16178+10816+687+54345</f>
        <v>210828</v>
      </c>
      <c r="I12" s="9"/>
      <c r="J12" s="9">
        <f>105312+20649+32598</f>
        <v>158559</v>
      </c>
      <c r="K12" s="10">
        <f>K13+K14+K15+K16+K17+K18+K19+K20+K21+K22+K23+K24</f>
        <v>23818</v>
      </c>
      <c r="L12" s="9">
        <v>58056</v>
      </c>
      <c r="M12" s="9">
        <f>44319+29346+4657+36+19958+20424</f>
        <v>118740</v>
      </c>
      <c r="N12" s="9"/>
      <c r="O12" s="9"/>
      <c r="P12" s="11">
        <f t="shared" si="0"/>
        <v>1740460</v>
      </c>
      <c r="Q12" s="12"/>
    </row>
    <row r="13" spans="1:17" x14ac:dyDescent="0.25">
      <c r="A13" s="7"/>
      <c r="B13" s="7" t="s">
        <v>7</v>
      </c>
      <c r="C13" s="14"/>
      <c r="D13" s="14"/>
      <c r="E13" s="14"/>
      <c r="F13" s="14"/>
      <c r="G13" s="14"/>
      <c r="H13" s="9"/>
      <c r="I13" s="9"/>
      <c r="J13" s="9">
        <f>319</f>
        <v>319</v>
      </c>
      <c r="K13" s="14">
        <v>0</v>
      </c>
      <c r="L13" s="9"/>
      <c r="M13" s="9"/>
      <c r="N13" s="9"/>
      <c r="O13" s="9"/>
      <c r="P13" s="11">
        <f t="shared" si="0"/>
        <v>319</v>
      </c>
    </row>
    <row r="14" spans="1:17" x14ac:dyDescent="0.25">
      <c r="A14" s="7"/>
      <c r="B14" s="7" t="s">
        <v>8</v>
      </c>
      <c r="C14" s="14"/>
      <c r="D14" s="14"/>
      <c r="E14" s="14"/>
      <c r="F14" s="14"/>
      <c r="G14" s="14"/>
      <c r="H14" s="9"/>
      <c r="I14" s="9"/>
      <c r="J14" s="9">
        <f>1187+747</f>
        <v>1934</v>
      </c>
      <c r="K14" s="14">
        <v>747</v>
      </c>
      <c r="L14" s="9"/>
      <c r="M14" s="9"/>
      <c r="N14" s="9"/>
      <c r="O14" s="9"/>
      <c r="P14" s="11">
        <f t="shared" si="0"/>
        <v>2681</v>
      </c>
    </row>
    <row r="15" spans="1:17" ht="25.5" x14ac:dyDescent="0.25">
      <c r="A15" s="7"/>
      <c r="B15" s="7" t="s">
        <v>9</v>
      </c>
      <c r="C15" s="14"/>
      <c r="D15" s="14"/>
      <c r="E15" s="14"/>
      <c r="F15" s="14"/>
      <c r="G15" s="14"/>
      <c r="H15" s="9"/>
      <c r="I15" s="9"/>
      <c r="J15" s="9">
        <f>75752+19086</f>
        <v>94838</v>
      </c>
      <c r="K15" s="14">
        <v>19627</v>
      </c>
      <c r="L15" s="9"/>
      <c r="M15" s="9"/>
      <c r="N15" s="9"/>
      <c r="O15" s="9"/>
      <c r="P15" s="11">
        <f t="shared" si="0"/>
        <v>114465</v>
      </c>
    </row>
    <row r="16" spans="1:17" x14ac:dyDescent="0.25">
      <c r="A16" s="7"/>
      <c r="B16" s="7" t="s">
        <v>12</v>
      </c>
      <c r="C16" s="14"/>
      <c r="D16" s="14"/>
      <c r="E16" s="14"/>
      <c r="F16" s="14"/>
      <c r="G16" s="14"/>
      <c r="H16" s="9"/>
      <c r="I16" s="9"/>
      <c r="J16" s="9"/>
      <c r="K16" s="14"/>
      <c r="L16" s="9"/>
      <c r="M16" s="9"/>
      <c r="N16" s="9"/>
      <c r="O16" s="9"/>
      <c r="P16" s="11">
        <f t="shared" si="0"/>
        <v>0</v>
      </c>
    </row>
    <row r="17" spans="1:18" x14ac:dyDescent="0.25">
      <c r="A17" s="7"/>
      <c r="B17" s="7" t="s">
        <v>10</v>
      </c>
      <c r="C17" s="14"/>
      <c r="D17" s="14"/>
      <c r="E17" s="14"/>
      <c r="F17" s="14"/>
      <c r="G17" s="14"/>
      <c r="H17" s="9"/>
      <c r="I17" s="9"/>
      <c r="J17" s="9">
        <f>11410+288</f>
        <v>11698</v>
      </c>
      <c r="K17" s="14">
        <v>288</v>
      </c>
      <c r="L17" s="9"/>
      <c r="M17" s="9"/>
      <c r="N17" s="9"/>
      <c r="O17" s="9"/>
      <c r="P17" s="11">
        <f t="shared" si="0"/>
        <v>11986</v>
      </c>
    </row>
    <row r="18" spans="1:18" x14ac:dyDescent="0.25">
      <c r="A18" s="7"/>
      <c r="B18" s="7" t="s">
        <v>15</v>
      </c>
      <c r="C18" s="8">
        <v>10560</v>
      </c>
      <c r="D18" s="8">
        <v>3112</v>
      </c>
      <c r="E18" s="8">
        <v>4038</v>
      </c>
      <c r="F18" s="8">
        <v>5967</v>
      </c>
      <c r="G18" s="8">
        <v>2586</v>
      </c>
      <c r="H18" s="9">
        <v>3509</v>
      </c>
      <c r="I18" s="9"/>
      <c r="J18" s="9">
        <f>2590+22</f>
        <v>2612</v>
      </c>
      <c r="K18" s="14">
        <v>22</v>
      </c>
      <c r="L18" s="9">
        <v>1545</v>
      </c>
      <c r="M18" s="20">
        <v>1982</v>
      </c>
      <c r="N18" s="9"/>
      <c r="O18" s="9"/>
      <c r="P18" s="11">
        <f t="shared" si="0"/>
        <v>35933</v>
      </c>
    </row>
    <row r="19" spans="1:18" x14ac:dyDescent="0.25">
      <c r="A19" s="7"/>
      <c r="B19" s="15" t="s">
        <v>16</v>
      </c>
      <c r="C19" s="16">
        <v>17000</v>
      </c>
      <c r="D19" s="16">
        <v>5500</v>
      </c>
      <c r="E19" s="16">
        <v>2019</v>
      </c>
      <c r="F19" s="16">
        <v>5000</v>
      </c>
      <c r="G19" s="16">
        <v>1500</v>
      </c>
      <c r="H19" s="18">
        <v>1990</v>
      </c>
      <c r="I19" s="18"/>
      <c r="J19" s="18">
        <f>1780+92</f>
        <v>1872</v>
      </c>
      <c r="K19" s="17">
        <v>92</v>
      </c>
      <c r="L19" s="21">
        <v>586</v>
      </c>
      <c r="M19" s="21">
        <v>1537</v>
      </c>
      <c r="N19" s="18"/>
      <c r="O19" s="18"/>
      <c r="P19" s="19">
        <f t="shared" si="0"/>
        <v>37096</v>
      </c>
    </row>
    <row r="20" spans="1:18" x14ac:dyDescent="0.25">
      <c r="A20" s="7"/>
      <c r="B20" s="7" t="s">
        <v>11</v>
      </c>
      <c r="C20" s="14"/>
      <c r="D20" s="14"/>
      <c r="E20" s="14"/>
      <c r="F20" s="14"/>
      <c r="G20" s="14"/>
      <c r="H20" s="9"/>
      <c r="I20" s="9"/>
      <c r="J20" s="9">
        <f>1909+113+138</f>
        <v>2160</v>
      </c>
      <c r="K20" s="14">
        <v>113</v>
      </c>
      <c r="L20" s="9"/>
      <c r="M20" s="9"/>
      <c r="N20" s="9"/>
      <c r="O20" s="9"/>
      <c r="P20" s="11">
        <f t="shared" si="0"/>
        <v>2273</v>
      </c>
    </row>
    <row r="21" spans="1:18" ht="34.5" customHeight="1" x14ac:dyDescent="0.25">
      <c r="A21" s="7"/>
      <c r="B21" s="7" t="s">
        <v>51</v>
      </c>
      <c r="C21" s="14"/>
      <c r="D21" s="14"/>
      <c r="E21" s="14"/>
      <c r="F21" s="14"/>
      <c r="G21" s="14"/>
      <c r="H21" s="9"/>
      <c r="I21" s="9"/>
      <c r="J21" s="9">
        <f>5668+259</f>
        <v>5927</v>
      </c>
      <c r="K21" s="22">
        <f>259+150</f>
        <v>409</v>
      </c>
      <c r="L21" s="9"/>
      <c r="M21" s="9"/>
      <c r="N21" s="9"/>
      <c r="O21" s="9"/>
      <c r="P21" s="11">
        <f t="shared" si="0"/>
        <v>6336</v>
      </c>
    </row>
    <row r="22" spans="1:18" x14ac:dyDescent="0.25">
      <c r="A22" s="7"/>
      <c r="B22" s="7" t="s">
        <v>13</v>
      </c>
      <c r="C22" s="14"/>
      <c r="D22" s="14"/>
      <c r="E22" s="14"/>
      <c r="F22" s="14"/>
      <c r="G22" s="23"/>
      <c r="H22" s="24">
        <f>33343+838</f>
        <v>34181</v>
      </c>
      <c r="I22" s="24"/>
      <c r="J22" s="24">
        <f>14976+2633+54</f>
        <v>17663</v>
      </c>
      <c r="K22" s="14">
        <v>2478</v>
      </c>
      <c r="L22" s="24">
        <f>4820</f>
        <v>4820</v>
      </c>
      <c r="M22" s="24">
        <v>8354</v>
      </c>
      <c r="N22" s="9"/>
      <c r="O22" s="9"/>
      <c r="P22" s="11">
        <f t="shared" si="0"/>
        <v>67496</v>
      </c>
      <c r="Q22" s="41"/>
      <c r="R22" s="42"/>
    </row>
    <row r="23" spans="1:18" x14ac:dyDescent="0.25">
      <c r="A23" s="7"/>
      <c r="B23" s="15" t="s">
        <v>33</v>
      </c>
      <c r="C23" s="25">
        <v>118635</v>
      </c>
      <c r="D23" s="25">
        <v>115517</v>
      </c>
      <c r="E23" s="23"/>
      <c r="F23" s="25">
        <v>54595</v>
      </c>
      <c r="G23" s="23">
        <v>23667</v>
      </c>
      <c r="H23" s="17">
        <v>21002</v>
      </c>
      <c r="I23" s="17"/>
      <c r="J23" s="17">
        <v>17622</v>
      </c>
      <c r="K23" s="10"/>
      <c r="L23" s="17">
        <v>7001</v>
      </c>
      <c r="M23" s="17">
        <v>12070</v>
      </c>
      <c r="N23" s="18"/>
      <c r="O23" s="18"/>
      <c r="P23" s="19">
        <f t="shared" si="0"/>
        <v>370109</v>
      </c>
    </row>
    <row r="24" spans="1:18" x14ac:dyDescent="0.25">
      <c r="A24" s="7"/>
      <c r="B24" s="7" t="s">
        <v>14</v>
      </c>
      <c r="C24" s="14"/>
      <c r="D24" s="14"/>
      <c r="E24" s="14"/>
      <c r="F24" s="14"/>
      <c r="G24" s="14"/>
      <c r="H24" s="9"/>
      <c r="I24" s="9"/>
      <c r="J24" s="9">
        <f>1872+42</f>
        <v>1914</v>
      </c>
      <c r="K24" s="14">
        <v>42</v>
      </c>
      <c r="L24" s="9"/>
      <c r="M24" s="9"/>
      <c r="N24" s="9"/>
      <c r="O24" s="9"/>
      <c r="P24" s="11">
        <f t="shared" si="0"/>
        <v>1956</v>
      </c>
    </row>
    <row r="25" spans="1:18" x14ac:dyDescent="0.25">
      <c r="A25" s="7">
        <v>5000</v>
      </c>
      <c r="B25" s="7" t="s">
        <v>19</v>
      </c>
      <c r="C25" s="8">
        <v>42182</v>
      </c>
      <c r="D25" s="8">
        <v>10891</v>
      </c>
      <c r="E25" s="8">
        <v>17700</v>
      </c>
      <c r="F25" s="8">
        <v>31950</v>
      </c>
      <c r="G25" s="8">
        <v>4600</v>
      </c>
      <c r="H25" s="9">
        <f>7277+84</f>
        <v>7361</v>
      </c>
      <c r="I25" s="9"/>
      <c r="J25" s="9">
        <f>20272+9361</f>
        <v>29633</v>
      </c>
      <c r="K25" s="14">
        <v>9361</v>
      </c>
      <c r="L25" s="9">
        <v>59900</v>
      </c>
      <c r="M25" s="9">
        <f>79+180+111</f>
        <v>370</v>
      </c>
      <c r="N25" s="9"/>
      <c r="O25" s="9"/>
      <c r="P25" s="11">
        <f t="shared" si="0"/>
        <v>213948</v>
      </c>
    </row>
    <row r="26" spans="1:18" x14ac:dyDescent="0.25">
      <c r="A26" s="7"/>
      <c r="B26" s="7" t="s">
        <v>17</v>
      </c>
      <c r="C26" s="8">
        <v>10200</v>
      </c>
      <c r="D26" s="8">
        <v>1971</v>
      </c>
      <c r="E26" s="8">
        <v>5973</v>
      </c>
      <c r="F26" s="8">
        <v>4189</v>
      </c>
      <c r="G26" s="8">
        <v>500</v>
      </c>
      <c r="H26" s="9">
        <v>1569</v>
      </c>
      <c r="I26" s="9"/>
      <c r="J26" s="9">
        <v>1340</v>
      </c>
      <c r="K26" s="14"/>
      <c r="L26" s="9"/>
      <c r="M26" s="9"/>
      <c r="N26" s="9"/>
      <c r="O26" s="9"/>
      <c r="P26" s="11">
        <f t="shared" si="0"/>
        <v>25742</v>
      </c>
    </row>
    <row r="27" spans="1:18" x14ac:dyDescent="0.25">
      <c r="A27" s="7"/>
      <c r="B27" s="15" t="s">
        <v>18</v>
      </c>
      <c r="C27" s="16">
        <v>7965</v>
      </c>
      <c r="D27" s="16">
        <v>8550</v>
      </c>
      <c r="E27" s="16">
        <v>6500</v>
      </c>
      <c r="F27" s="16">
        <v>6063</v>
      </c>
      <c r="G27" s="16">
        <v>1266</v>
      </c>
      <c r="H27" s="18">
        <v>2730</v>
      </c>
      <c r="I27" s="18"/>
      <c r="J27" s="18">
        <f>2000</f>
        <v>2000</v>
      </c>
      <c r="K27" s="17"/>
      <c r="L27" s="18">
        <v>1000</v>
      </c>
      <c r="M27" s="17">
        <v>370</v>
      </c>
      <c r="N27" s="18"/>
      <c r="O27" s="18"/>
      <c r="P27" s="19">
        <f t="shared" si="0"/>
        <v>36444</v>
      </c>
    </row>
    <row r="28" spans="1:18" x14ac:dyDescent="0.25">
      <c r="A28" s="7"/>
      <c r="B28" s="7" t="s">
        <v>20</v>
      </c>
      <c r="C28" s="8">
        <v>24017</v>
      </c>
      <c r="D28" s="8">
        <v>67</v>
      </c>
      <c r="E28" s="8">
        <v>5227</v>
      </c>
      <c r="F28" s="8">
        <f>6154+240</f>
        <v>6394</v>
      </c>
      <c r="G28" s="8">
        <v>885</v>
      </c>
      <c r="H28" s="9">
        <v>2977</v>
      </c>
      <c r="I28" s="9"/>
      <c r="J28" s="9">
        <v>9361</v>
      </c>
      <c r="K28" s="14">
        <v>9361</v>
      </c>
      <c r="L28" s="9"/>
      <c r="M28" s="9"/>
      <c r="N28" s="9"/>
      <c r="O28" s="9"/>
      <c r="P28" s="26">
        <f t="shared" si="0"/>
        <v>58289</v>
      </c>
    </row>
    <row r="29" spans="1:18" x14ac:dyDescent="0.25">
      <c r="A29" s="7"/>
      <c r="B29" s="7" t="s">
        <v>22</v>
      </c>
      <c r="C29" s="14"/>
      <c r="D29" s="8">
        <v>303</v>
      </c>
      <c r="E29" s="14"/>
      <c r="F29" s="8">
        <v>15304</v>
      </c>
      <c r="G29" s="14">
        <v>1948</v>
      </c>
      <c r="H29" s="9"/>
      <c r="I29" s="9"/>
      <c r="J29" s="9">
        <f>13994+2939</f>
        <v>16933</v>
      </c>
      <c r="K29" s="9"/>
      <c r="L29" s="9"/>
      <c r="M29" s="9"/>
      <c r="N29" s="9"/>
      <c r="O29" s="9"/>
      <c r="P29" s="11">
        <f t="shared" si="0"/>
        <v>34488</v>
      </c>
    </row>
    <row r="30" spans="1:18" x14ac:dyDescent="0.25">
      <c r="A30" s="7">
        <v>6000</v>
      </c>
      <c r="B30" s="7" t="s">
        <v>21</v>
      </c>
      <c r="C30" s="14"/>
      <c r="D30" s="14"/>
      <c r="E30" s="14"/>
      <c r="F30" s="14"/>
      <c r="G30" s="14"/>
      <c r="H30" s="9"/>
      <c r="I30" s="9"/>
      <c r="J30" s="9">
        <v>170</v>
      </c>
      <c r="K30" s="9"/>
      <c r="L30" s="9"/>
      <c r="M30" s="9">
        <f>70+50</f>
        <v>120</v>
      </c>
      <c r="N30" s="9"/>
      <c r="O30" s="9"/>
      <c r="P30" s="11">
        <f t="shared" si="0"/>
        <v>290</v>
      </c>
    </row>
    <row r="31" spans="1:18" ht="13.5" thickBot="1" x14ac:dyDescent="0.3">
      <c r="A31" s="7">
        <v>7000</v>
      </c>
      <c r="B31" s="7" t="s">
        <v>23</v>
      </c>
      <c r="C31" s="9"/>
      <c r="D31" s="9"/>
      <c r="E31" s="9"/>
      <c r="F31" s="9"/>
      <c r="G31" s="9"/>
      <c r="H31" s="9">
        <v>0</v>
      </c>
      <c r="I31" s="9">
        <v>0</v>
      </c>
      <c r="J31" s="9">
        <v>0</v>
      </c>
      <c r="K31" s="9"/>
      <c r="L31" s="9"/>
      <c r="M31" s="9"/>
      <c r="N31" s="9"/>
      <c r="O31" s="9"/>
      <c r="P31" s="27">
        <f t="shared" si="0"/>
        <v>0</v>
      </c>
    </row>
    <row r="32" spans="1:18" ht="13.5" thickBot="1" x14ac:dyDescent="0.3">
      <c r="A32" s="53" t="s">
        <v>1</v>
      </c>
      <c r="B32" s="54"/>
      <c r="C32" s="28">
        <f>C31+C30+C25+C12+C8</f>
        <v>2643621</v>
      </c>
      <c r="D32" s="28">
        <f>D31+D30+D25+D12+D8</f>
        <v>1403767</v>
      </c>
      <c r="E32" s="28">
        <f t="shared" ref="E32" si="1">E31+E30+E25+E12+E8</f>
        <v>1224504</v>
      </c>
      <c r="F32" s="28">
        <f>F31+F30+F25+F12+F8</f>
        <v>1278406</v>
      </c>
      <c r="G32" s="28">
        <f t="shared" ref="G32" si="2">G31+G30+G25+G12+G8</f>
        <v>456275</v>
      </c>
      <c r="H32" s="28">
        <f>H31+H30+H25+H12+H8</f>
        <v>982451</v>
      </c>
      <c r="I32" s="29">
        <f>I8+I12+I25+I30+I31</f>
        <v>0</v>
      </c>
      <c r="J32" s="28">
        <f>J8+J12+J25+J30+J31</f>
        <v>698800</v>
      </c>
      <c r="K32" s="28">
        <f>K8+K12+K25+K30+K31</f>
        <v>75310</v>
      </c>
      <c r="L32" s="28">
        <f>L8+L12+L25+L30+L31</f>
        <v>406291</v>
      </c>
      <c r="M32" s="28">
        <f>M31+M30+M25+M12+M8</f>
        <v>622668</v>
      </c>
      <c r="N32" s="28">
        <f>N31+N30+N25+N12+N8</f>
        <v>0</v>
      </c>
      <c r="O32" s="28">
        <f>O31+O30+O25+O12+O8</f>
        <v>0</v>
      </c>
      <c r="P32" s="30">
        <f t="shared" si="0"/>
        <v>9792093</v>
      </c>
    </row>
    <row r="33" spans="1:16" ht="13.5" thickBot="1" x14ac:dyDescent="0.3">
      <c r="A33" s="53" t="s">
        <v>25</v>
      </c>
      <c r="B33" s="54"/>
      <c r="C33" s="28">
        <f>C32-C27-C23-C19-C11</f>
        <v>643571</v>
      </c>
      <c r="D33" s="28">
        <f t="shared" ref="D33:E33" si="3">D32-D27-D23-D19-D11</f>
        <v>341391</v>
      </c>
      <c r="E33" s="28">
        <f t="shared" si="3"/>
        <v>386080</v>
      </c>
      <c r="F33" s="28">
        <f>F32-F27-F23-F19-F11</f>
        <v>379039</v>
      </c>
      <c r="G33" s="28">
        <f t="shared" ref="G33:H33" si="4">G32-G27-G23-G19-G11</f>
        <v>175235</v>
      </c>
      <c r="H33" s="28">
        <f t="shared" si="4"/>
        <v>551705</v>
      </c>
      <c r="I33" s="29">
        <v>23250</v>
      </c>
      <c r="J33" s="28">
        <f t="shared" ref="J33:O33" si="5">J32-J27-J23-J19-J11</f>
        <v>330078</v>
      </c>
      <c r="K33" s="28">
        <f t="shared" si="5"/>
        <v>69369</v>
      </c>
      <c r="L33" s="28">
        <f t="shared" si="5"/>
        <v>271398</v>
      </c>
      <c r="M33" s="28">
        <f t="shared" si="5"/>
        <v>440108</v>
      </c>
      <c r="N33" s="28">
        <f t="shared" si="5"/>
        <v>0</v>
      </c>
      <c r="O33" s="28">
        <f t="shared" si="5"/>
        <v>0</v>
      </c>
      <c r="P33" s="28"/>
    </row>
    <row r="34" spans="1:16" ht="13.5" thickBot="1" x14ac:dyDescent="0.3">
      <c r="A34" s="53" t="s">
        <v>29</v>
      </c>
      <c r="B34" s="54"/>
      <c r="C34" s="28">
        <v>664677</v>
      </c>
      <c r="D34" s="28">
        <v>390385</v>
      </c>
      <c r="E34" s="31">
        <v>371830</v>
      </c>
      <c r="F34" s="28">
        <v>375383</v>
      </c>
      <c r="G34" s="28">
        <v>172787</v>
      </c>
      <c r="H34" s="28">
        <v>500284</v>
      </c>
      <c r="I34" s="29" t="s">
        <v>46</v>
      </c>
      <c r="J34" s="28">
        <v>275689</v>
      </c>
      <c r="K34" s="28"/>
      <c r="L34" s="28">
        <v>203102</v>
      </c>
      <c r="M34" s="28">
        <v>421744</v>
      </c>
      <c r="N34" s="28"/>
      <c r="O34" s="28"/>
      <c r="P34" s="28"/>
    </row>
    <row r="35" spans="1:16" x14ac:dyDescent="0.25">
      <c r="A35" s="55" t="s">
        <v>47</v>
      </c>
      <c r="B35" s="56"/>
      <c r="C35" s="32">
        <v>1331</v>
      </c>
      <c r="D35" s="32">
        <v>749</v>
      </c>
      <c r="E35" s="32">
        <v>488</v>
      </c>
      <c r="F35" s="32">
        <v>586</v>
      </c>
      <c r="G35" s="32">
        <v>154</v>
      </c>
      <c r="H35" s="32">
        <v>314</v>
      </c>
      <c r="I35" s="33">
        <v>55</v>
      </c>
      <c r="J35" s="32">
        <v>215</v>
      </c>
      <c r="K35" s="34">
        <v>9</v>
      </c>
      <c r="L35" s="32">
        <v>104</v>
      </c>
      <c r="M35" s="35">
        <v>145</v>
      </c>
      <c r="N35" s="35"/>
      <c r="O35" s="35"/>
      <c r="P35" s="35">
        <f>SUM(C35:O35)</f>
        <v>4150</v>
      </c>
    </row>
    <row r="36" spans="1:16" ht="13.5" thickBot="1" x14ac:dyDescent="0.3">
      <c r="A36" s="50" t="s">
        <v>26</v>
      </c>
      <c r="B36" s="51"/>
      <c r="C36" s="36">
        <f>C33/C35</f>
        <v>483.5244177310293</v>
      </c>
      <c r="D36" s="36">
        <f t="shared" ref="D36:H36" si="6">D33/D35</f>
        <v>455.79572763684911</v>
      </c>
      <c r="E36" s="36">
        <f t="shared" si="6"/>
        <v>791.14754098360652</v>
      </c>
      <c r="F36" s="36">
        <f>F33/F35</f>
        <v>646.8242320819113</v>
      </c>
      <c r="G36" s="36">
        <f>G33/G35</f>
        <v>1137.8896103896104</v>
      </c>
      <c r="H36" s="36">
        <f t="shared" si="6"/>
        <v>1757.0222929936306</v>
      </c>
      <c r="I36" s="36">
        <f>I33/I35</f>
        <v>422.72727272727275</v>
      </c>
      <c r="J36" s="36">
        <f>J33/J35</f>
        <v>1535.246511627907</v>
      </c>
      <c r="K36" s="36">
        <f>K33/K35</f>
        <v>7707.666666666667</v>
      </c>
      <c r="L36" s="36">
        <f>L33/L35</f>
        <v>2609.5961538461538</v>
      </c>
      <c r="M36" s="36">
        <f>M33/M35</f>
        <v>3035.2275862068964</v>
      </c>
      <c r="N36" s="36" t="e">
        <f t="shared" ref="N36:P36" si="7">N33/N35</f>
        <v>#DIV/0!</v>
      </c>
      <c r="O36" s="36" t="e">
        <f t="shared" si="7"/>
        <v>#DIV/0!</v>
      </c>
      <c r="P36" s="36">
        <f t="shared" si="7"/>
        <v>0</v>
      </c>
    </row>
    <row r="37" spans="1:16" ht="13.5" thickBot="1" x14ac:dyDescent="0.3">
      <c r="A37" s="46" t="s">
        <v>27</v>
      </c>
      <c r="B37" s="47"/>
      <c r="C37" s="37">
        <f>C36/12</f>
        <v>40.293701477585778</v>
      </c>
      <c r="D37" s="37">
        <f t="shared" ref="D37:G37" si="8">D36/12</f>
        <v>37.982977303070761</v>
      </c>
      <c r="E37" s="37">
        <f t="shared" si="8"/>
        <v>65.928961748633881</v>
      </c>
      <c r="F37" s="37">
        <f t="shared" si="8"/>
        <v>53.902019340159278</v>
      </c>
      <c r="G37" s="37">
        <f t="shared" si="8"/>
        <v>94.824134199134207</v>
      </c>
      <c r="H37" s="37">
        <f>H36/12</f>
        <v>146.41852441613588</v>
      </c>
      <c r="I37" s="37">
        <f>I36/12</f>
        <v>35.227272727272727</v>
      </c>
      <c r="J37" s="37">
        <f t="shared" ref="J37:L37" si="9">J36/12</f>
        <v>127.93720930232558</v>
      </c>
      <c r="K37" s="38">
        <f t="shared" si="9"/>
        <v>642.30555555555554</v>
      </c>
      <c r="L37" s="37">
        <f t="shared" si="9"/>
        <v>217.46634615384616</v>
      </c>
      <c r="M37" s="37">
        <f>M36/12</f>
        <v>252.93563218390804</v>
      </c>
      <c r="N37" s="37" t="e">
        <f t="shared" ref="N37:P37" si="10">N36/12</f>
        <v>#DIV/0!</v>
      </c>
      <c r="O37" s="37" t="e">
        <f t="shared" si="10"/>
        <v>#DIV/0!</v>
      </c>
      <c r="P37" s="37">
        <f t="shared" si="10"/>
        <v>0</v>
      </c>
    </row>
    <row r="38" spans="1:16" ht="13.5" thickBot="1" x14ac:dyDescent="0.3">
      <c r="A38" s="46" t="s">
        <v>24</v>
      </c>
      <c r="B38" s="47"/>
      <c r="C38" s="37">
        <v>41.62</v>
      </c>
      <c r="D38" s="37">
        <v>43.43</v>
      </c>
      <c r="E38" s="37">
        <v>63.5</v>
      </c>
      <c r="F38" s="37">
        <v>54.5</v>
      </c>
      <c r="G38" s="37">
        <v>92.3</v>
      </c>
      <c r="H38" s="37">
        <v>132.77000000000001</v>
      </c>
      <c r="I38" s="37" t="s">
        <v>46</v>
      </c>
      <c r="J38" s="37">
        <v>106.86</v>
      </c>
      <c r="K38" s="37"/>
      <c r="L38" s="37">
        <v>162.74</v>
      </c>
      <c r="M38" s="37">
        <v>242.38</v>
      </c>
      <c r="N38" s="37"/>
      <c r="O38" s="37"/>
      <c r="P38" s="37"/>
    </row>
    <row r="39" spans="1:16" ht="31.5" customHeight="1" thickBot="1" x14ac:dyDescent="0.3">
      <c r="A39" s="46" t="s">
        <v>32</v>
      </c>
      <c r="B39" s="47"/>
      <c r="C39" s="37">
        <f>C37-C38</f>
        <v>-1.3262985224142199</v>
      </c>
      <c r="D39" s="37">
        <f t="shared" ref="D39:L39" si="11">D37-D38</f>
        <v>-5.4470226969292384</v>
      </c>
      <c r="E39" s="37">
        <f t="shared" si="11"/>
        <v>2.4289617486338813</v>
      </c>
      <c r="F39" s="37">
        <f t="shared" si="11"/>
        <v>-0.59798065984072224</v>
      </c>
      <c r="G39" s="37">
        <f t="shared" si="11"/>
        <v>2.5241341991342097</v>
      </c>
      <c r="H39" s="37">
        <f>H37-H38</f>
        <v>13.648524416135871</v>
      </c>
      <c r="I39" s="37" t="e">
        <f t="shared" si="11"/>
        <v>#VALUE!</v>
      </c>
      <c r="J39" s="37">
        <f t="shared" si="11"/>
        <v>21.077209302325585</v>
      </c>
      <c r="K39" s="37">
        <f t="shared" si="11"/>
        <v>642.30555555555554</v>
      </c>
      <c r="L39" s="37">
        <f t="shared" si="11"/>
        <v>54.726346153846151</v>
      </c>
      <c r="M39" s="37">
        <f>M37-M38</f>
        <v>10.555632183908045</v>
      </c>
      <c r="N39" s="37" t="e">
        <f t="shared" ref="N39:P39" si="12">N37-N38</f>
        <v>#DIV/0!</v>
      </c>
      <c r="O39" s="37" t="e">
        <f t="shared" si="12"/>
        <v>#DIV/0!</v>
      </c>
      <c r="P39" s="37">
        <f t="shared" si="12"/>
        <v>0</v>
      </c>
    </row>
    <row r="41" spans="1:16" ht="29.25" customHeight="1" x14ac:dyDescent="0.25">
      <c r="A41" s="48" t="s">
        <v>52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x14ac:dyDescent="0.25">
      <c r="A42" s="39" t="s">
        <v>35</v>
      </c>
      <c r="H42" s="1"/>
      <c r="I42" s="1"/>
      <c r="J42" s="45"/>
      <c r="K42" s="45"/>
      <c r="L42" s="1"/>
      <c r="M42" s="1"/>
    </row>
    <row r="43" spans="1:16" x14ac:dyDescent="0.25">
      <c r="H43" s="1"/>
      <c r="I43" s="1"/>
      <c r="J43" s="45"/>
      <c r="K43" s="45"/>
      <c r="L43" s="1"/>
      <c r="M43" s="1"/>
    </row>
    <row r="44" spans="1:16" ht="38.25" x14ac:dyDescent="0.25">
      <c r="B44" s="6" t="s">
        <v>50</v>
      </c>
      <c r="J44" s="45"/>
      <c r="K44" s="45"/>
    </row>
    <row r="45" spans="1:16" ht="47.25" customHeight="1" x14ac:dyDescent="0.25">
      <c r="J45" s="45"/>
      <c r="K45" s="45"/>
      <c r="L45" s="40"/>
    </row>
    <row r="46" spans="1:16" x14ac:dyDescent="0.25">
      <c r="J46" s="44"/>
      <c r="K46" s="44"/>
    </row>
    <row r="48" spans="1:16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3:13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3:13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3:13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</sheetData>
  <mergeCells count="11">
    <mergeCell ref="A37:B37"/>
    <mergeCell ref="A38:B38"/>
    <mergeCell ref="A39:B39"/>
    <mergeCell ref="A41:P41"/>
    <mergeCell ref="J2:K2"/>
    <mergeCell ref="A36:B36"/>
    <mergeCell ref="A5:P5"/>
    <mergeCell ref="A32:B32"/>
    <mergeCell ref="A33:B33"/>
    <mergeCell ref="A34:B34"/>
    <mergeCell ref="A35:B35"/>
  </mergeCells>
  <pageMargins left="0.7" right="0.7" top="0.75" bottom="0.75" header="0.3" footer="0.3"/>
  <pageSetup paperSize="8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Fin_nod_vad</dc:creator>
  <cp:lastModifiedBy>Nikolajs Sapožņikovs</cp:lastModifiedBy>
  <cp:lastPrinted>2020-08-12T14:32:39Z</cp:lastPrinted>
  <dcterms:created xsi:type="dcterms:W3CDTF">2019-08-14T13:55:38Z</dcterms:created>
  <dcterms:modified xsi:type="dcterms:W3CDTF">2021-03-05T13:19:25Z</dcterms:modified>
</cp:coreProperties>
</file>