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Novada_lemumi_no_01.07.2021\"/>
    </mc:Choice>
  </mc:AlternateContent>
  <bookViews>
    <workbookView xWindow="0" yWindow="0" windowWidth="28800" windowHeight="12435" tabRatio="901" firstSheet="2" activeTab="16"/>
  </bookViews>
  <sheets>
    <sheet name="PII" sheetId="12" r:id="rId1"/>
    <sheet name="Skolas" sheetId="13" r:id="rId2"/>
    <sheet name="Māksl." sheetId="15" r:id="rId3"/>
    <sheet name="Sp.centrs" sheetId="16" r:id="rId4"/>
    <sheet name="Kult.iest." sheetId="17" r:id="rId5"/>
    <sheet name="Kult. aktiv.2021" sheetId="59" r:id="rId6"/>
    <sheet name="Polic." sheetId="18" r:id="rId7"/>
    <sheet name="Soc.apr." sheetId="19" r:id="rId8"/>
    <sheet name="Pašv. proj. 2021" sheetId="63" r:id="rId9"/>
    <sheet name="ES proj.2021" sheetId="61" r:id="rId10"/>
    <sheet name="Izglīt.soc.proj.2021" sheetId="62" r:id="rId11"/>
    <sheet name="Izpildvara" sheetId="21" r:id="rId12"/>
    <sheet name="Būvvalde" sheetId="29" r:id="rId13"/>
    <sheet name="Tautsaimn." sheetId="2" r:id="rId14"/>
    <sheet name="Fin. PA Ogres komunik." sheetId="24" r:id="rId15"/>
    <sheet name="Fin. SIA Ogres namsaimn." sheetId="55" r:id="rId16"/>
    <sheet name="Tauts.atšifr." sheetId="14" r:id="rId17"/>
    <sheet name="Pārējās dažādas funkc." sheetId="56" r:id="rId18"/>
    <sheet name="SP.komandu atb. 2021" sheetId="60" r:id="rId19"/>
    <sheet name="Lapa1" sheetId="64" r:id="rId20"/>
    <sheet name="Sheet2" sheetId="37" state="hidden" r:id="rId21"/>
  </sheets>
  <externalReferences>
    <externalReference r:id="rId22"/>
  </externalReferences>
  <calcPr calcId="152511"/>
</workbook>
</file>

<file path=xl/calcChain.xml><?xml version="1.0" encoding="utf-8"?>
<calcChain xmlns="http://schemas.openxmlformats.org/spreadsheetml/2006/main">
  <c r="E12" i="21" l="1"/>
  <c r="E17" i="21"/>
  <c r="D13" i="17" l="1"/>
  <c r="C21" i="56" l="1"/>
  <c r="AA21" i="62" l="1"/>
  <c r="AA35" i="62" s="1"/>
  <c r="AA11" i="62"/>
  <c r="AA15" i="62" s="1"/>
  <c r="AA16" i="62" s="1"/>
  <c r="G9" i="19"/>
  <c r="G8" i="19"/>
  <c r="E9" i="15"/>
  <c r="E8" i="15"/>
  <c r="AQ34" i="63"/>
  <c r="AQ33" i="63"/>
  <c r="AQ20" i="63"/>
  <c r="AQ14" i="63"/>
  <c r="AQ15" i="63" s="1"/>
  <c r="AO33" i="63"/>
  <c r="AO20" i="63"/>
  <c r="AO14" i="63"/>
  <c r="AO15" i="63" s="1"/>
  <c r="AO34" i="63" s="1"/>
  <c r="AA36" i="62" l="1"/>
  <c r="C60" i="14" l="1"/>
  <c r="D8" i="56"/>
  <c r="D7" i="56"/>
  <c r="C10" i="29"/>
  <c r="C9" i="29"/>
  <c r="C9" i="21"/>
  <c r="C8" i="21"/>
  <c r="G63" i="60" l="1"/>
  <c r="E63" i="60"/>
  <c r="G36" i="60"/>
  <c r="F63" i="60" l="1"/>
  <c r="G22" i="60"/>
  <c r="E22" i="60"/>
  <c r="G19" i="60"/>
  <c r="E19" i="60"/>
  <c r="F18" i="60"/>
  <c r="E18" i="60"/>
  <c r="B30" i="59" l="1"/>
  <c r="C13" i="19" l="1"/>
  <c r="C20" i="19"/>
  <c r="C13" i="16" l="1"/>
  <c r="C12" i="2" l="1"/>
  <c r="C9" i="2"/>
  <c r="C48" i="14" l="1"/>
  <c r="C47" i="14"/>
  <c r="C46" i="14"/>
  <c r="C44" i="14"/>
  <c r="C13" i="18"/>
  <c r="C20" i="29"/>
  <c r="C13" i="29"/>
  <c r="D19" i="56"/>
  <c r="D12" i="56"/>
  <c r="K15" i="56"/>
  <c r="E19" i="56"/>
  <c r="I12" i="21"/>
  <c r="D23" i="19"/>
  <c r="D24" i="19"/>
  <c r="C12" i="19"/>
  <c r="F22" i="19"/>
  <c r="F9" i="19"/>
  <c r="F8" i="19"/>
  <c r="G13" i="19"/>
  <c r="J13" i="17"/>
  <c r="F21" i="17"/>
  <c r="F16" i="17"/>
  <c r="F14" i="17"/>
  <c r="F13" i="17"/>
  <c r="D20" i="17"/>
  <c r="D14" i="17"/>
  <c r="H9" i="62"/>
  <c r="H12" i="62"/>
  <c r="H23" i="62"/>
  <c r="H22" i="62"/>
  <c r="H20" i="62"/>
  <c r="H19" i="62"/>
  <c r="C26" i="16" l="1"/>
  <c r="D19" i="16"/>
  <c r="D12" i="16"/>
  <c r="D26" i="16"/>
  <c r="E23" i="15"/>
  <c r="E12" i="15"/>
  <c r="D19" i="15"/>
  <c r="D13" i="15"/>
  <c r="D12" i="15"/>
  <c r="D26" i="15"/>
  <c r="G24" i="13"/>
  <c r="G20" i="13"/>
  <c r="G12" i="13"/>
  <c r="H12" i="13"/>
  <c r="F20" i="13"/>
  <c r="F13" i="13"/>
  <c r="F12" i="13"/>
  <c r="E20" i="13"/>
  <c r="E12" i="13"/>
  <c r="D9" i="13"/>
  <c r="D8" i="13"/>
  <c r="H27" i="13"/>
  <c r="G27" i="13"/>
  <c r="F27" i="13"/>
  <c r="E27" i="13"/>
  <c r="D27" i="13"/>
  <c r="F27" i="62"/>
  <c r="F20" i="62"/>
  <c r="F19" i="62"/>
  <c r="F12" i="62"/>
  <c r="J28" i="12"/>
  <c r="I28" i="12"/>
  <c r="H28" i="12"/>
  <c r="G28" i="12"/>
  <c r="F28" i="12"/>
  <c r="E28" i="12"/>
  <c r="D28" i="12"/>
  <c r="F21" i="12"/>
  <c r="F14" i="12"/>
  <c r="I11" i="17" l="1"/>
  <c r="I22" i="17" s="1"/>
  <c r="M12" i="62" l="1"/>
  <c r="J12" i="61" l="1"/>
  <c r="AN20" i="63"/>
  <c r="AN33" i="63" s="1"/>
  <c r="AN14" i="63"/>
  <c r="AN15" i="63" s="1"/>
  <c r="AN34" i="63" l="1"/>
  <c r="AC32" i="62" l="1"/>
  <c r="AC20" i="62"/>
  <c r="AC19" i="62"/>
  <c r="AC12" i="62"/>
  <c r="AS29" i="63"/>
  <c r="AS9" i="63"/>
  <c r="E24" i="62"/>
  <c r="E23" i="62"/>
  <c r="E18" i="61"/>
  <c r="E30" i="61" s="1"/>
  <c r="E31" i="61" s="1"/>
  <c r="D29" i="61"/>
  <c r="D28" i="61"/>
  <c r="D27" i="61"/>
  <c r="D25" i="61"/>
  <c r="D23" i="61"/>
  <c r="D24" i="61"/>
  <c r="D22" i="61"/>
  <c r="D21" i="61"/>
  <c r="D19" i="61"/>
  <c r="D17" i="61"/>
  <c r="D16" i="61"/>
  <c r="D9" i="61"/>
  <c r="D6" i="61"/>
  <c r="E12" i="61"/>
  <c r="E13" i="61" s="1"/>
  <c r="J26" i="61" l="1"/>
  <c r="I26" i="61"/>
  <c r="H26" i="61"/>
  <c r="D26" i="61" s="1"/>
  <c r="P20" i="61"/>
  <c r="D20" i="61" s="1"/>
  <c r="D18" i="61" s="1"/>
  <c r="D30" i="61" s="1"/>
  <c r="J7" i="61"/>
  <c r="H7" i="61"/>
  <c r="G29" i="63"/>
  <c r="G23" i="63"/>
  <c r="G22" i="63"/>
  <c r="E22" i="63"/>
  <c r="G9" i="63"/>
  <c r="E9" i="63"/>
  <c r="AR26" i="63"/>
  <c r="AR9" i="63"/>
  <c r="I7" i="61" l="1"/>
  <c r="AT20" i="63" l="1"/>
  <c r="AT33" i="63" s="1"/>
  <c r="AU20" i="63"/>
  <c r="AU33" i="63" s="1"/>
  <c r="AG20" i="63"/>
  <c r="AG33" i="63" s="1"/>
  <c r="AD20" i="63"/>
  <c r="AD33" i="63" s="1"/>
  <c r="AD34" i="63" s="1"/>
  <c r="AD14" i="63"/>
  <c r="AD15" i="63" s="1"/>
  <c r="L29" i="63"/>
  <c r="K29" i="63"/>
  <c r="I29" i="63"/>
  <c r="Q29" i="63"/>
  <c r="R29" i="63"/>
  <c r="S29" i="63"/>
  <c r="T29" i="63"/>
  <c r="U29" i="63"/>
  <c r="V29" i="63"/>
  <c r="W29" i="63"/>
  <c r="X29" i="63"/>
  <c r="Y29" i="63"/>
  <c r="Z29" i="63"/>
  <c r="AA29" i="63"/>
  <c r="AC29" i="63"/>
  <c r="AJ29" i="63"/>
  <c r="AG14" i="63" l="1"/>
  <c r="AG15" i="63" s="1"/>
  <c r="AG34" i="63" s="1"/>
  <c r="AT14" i="63"/>
  <c r="AT15" i="63" s="1"/>
  <c r="AT34" i="63" s="1"/>
  <c r="AU14" i="63"/>
  <c r="AU15" i="63" s="1"/>
  <c r="AU34" i="63" s="1"/>
  <c r="AJ9" i="63"/>
  <c r="AC9" i="63"/>
  <c r="AA9" i="63"/>
  <c r="Z14" i="63"/>
  <c r="Z15" i="63" s="1"/>
  <c r="Z20" i="63"/>
  <c r="Z33" i="63" s="1"/>
  <c r="Y9" i="63"/>
  <c r="Y11" i="63"/>
  <c r="X9" i="63"/>
  <c r="X11" i="63"/>
  <c r="W9" i="63"/>
  <c r="W11" i="63"/>
  <c r="V11" i="63"/>
  <c r="U9" i="63"/>
  <c r="U11" i="63"/>
  <c r="T11" i="63"/>
  <c r="S11" i="63"/>
  <c r="R9" i="63"/>
  <c r="R11" i="63"/>
  <c r="Q11" i="63"/>
  <c r="L9" i="63"/>
  <c r="I9" i="63"/>
  <c r="K9" i="63"/>
  <c r="Z34" i="63" l="1"/>
  <c r="C66" i="2"/>
  <c r="C6" i="2"/>
  <c r="C28" i="14"/>
  <c r="C12" i="55"/>
  <c r="C23" i="55" l="1"/>
  <c r="C43" i="14" l="1"/>
  <c r="C35" i="14"/>
  <c r="C11" i="14"/>
  <c r="C17" i="14" s="1"/>
  <c r="C7" i="14"/>
  <c r="C45" i="2"/>
  <c r="C32" i="2"/>
  <c r="C26" i="2"/>
  <c r="C13" i="17" l="1"/>
  <c r="C16" i="17"/>
  <c r="H11" i="17" l="1"/>
  <c r="C12" i="21" l="1"/>
  <c r="C29" i="12" l="1"/>
  <c r="J11" i="12" l="1"/>
  <c r="J10" i="12"/>
  <c r="D30" i="63" l="1"/>
  <c r="D29" i="63"/>
  <c r="D28" i="63"/>
  <c r="D27" i="63"/>
  <c r="D26" i="63"/>
  <c r="D25" i="63"/>
  <c r="D23" i="63"/>
  <c r="D22" i="63"/>
  <c r="D21" i="63"/>
  <c r="D19" i="63"/>
  <c r="D18" i="63"/>
  <c r="D32" i="63"/>
  <c r="D31" i="63"/>
  <c r="D24" i="63"/>
  <c r="AV14" i="63"/>
  <c r="AV15" i="63" s="1"/>
  <c r="AF14" i="63"/>
  <c r="AF15" i="63" s="1"/>
  <c r="AP14" i="63"/>
  <c r="AP15" i="63" s="1"/>
  <c r="AR14" i="63"/>
  <c r="AR15" i="63" s="1"/>
  <c r="AL14" i="63"/>
  <c r="AL15" i="63" s="1"/>
  <c r="AK14" i="63"/>
  <c r="AK15" i="63" s="1"/>
  <c r="AJ14" i="63"/>
  <c r="AJ15" i="63" s="1"/>
  <c r="AI14" i="63"/>
  <c r="AI15" i="63" s="1"/>
  <c r="AH14" i="63"/>
  <c r="AH15" i="63" s="1"/>
  <c r="AM14" i="63"/>
  <c r="AM15" i="63" s="1"/>
  <c r="AE14" i="63"/>
  <c r="AE15" i="63" s="1"/>
  <c r="AC14" i="63"/>
  <c r="AC15" i="63" s="1"/>
  <c r="AB14" i="63"/>
  <c r="AB15" i="63" s="1"/>
  <c r="AA14" i="63"/>
  <c r="AA15" i="63" s="1"/>
  <c r="Y14" i="63"/>
  <c r="Y15" i="63" s="1"/>
  <c r="X14" i="63"/>
  <c r="X15" i="63" s="1"/>
  <c r="W14" i="63"/>
  <c r="W15" i="63" s="1"/>
  <c r="V14" i="63"/>
  <c r="V15" i="63" s="1"/>
  <c r="U14" i="63"/>
  <c r="U15" i="63" s="1"/>
  <c r="T14" i="63"/>
  <c r="T15" i="63" s="1"/>
  <c r="S14" i="63"/>
  <c r="S15" i="63" s="1"/>
  <c r="R14" i="63"/>
  <c r="R15" i="63" s="1"/>
  <c r="P14" i="63"/>
  <c r="P15" i="63" s="1"/>
  <c r="Q14" i="63"/>
  <c r="Q15" i="63" s="1"/>
  <c r="O14" i="63"/>
  <c r="O15" i="63" s="1"/>
  <c r="N14" i="63"/>
  <c r="N15" i="63" s="1"/>
  <c r="L14" i="63"/>
  <c r="L15" i="63" s="1"/>
  <c r="K14" i="63"/>
  <c r="K15" i="63" s="1"/>
  <c r="I14" i="63"/>
  <c r="I15" i="63" s="1"/>
  <c r="H14" i="63"/>
  <c r="H15" i="63" s="1"/>
  <c r="G14" i="63"/>
  <c r="G15" i="63" s="1"/>
  <c r="F14" i="63"/>
  <c r="F15" i="63" s="1"/>
  <c r="E14" i="63"/>
  <c r="E15" i="63" s="1"/>
  <c r="D13" i="63"/>
  <c r="D12" i="63"/>
  <c r="D11" i="63"/>
  <c r="D10" i="63"/>
  <c r="AS14" i="63"/>
  <c r="AS15" i="63" s="1"/>
  <c r="M9" i="63"/>
  <c r="M14" i="63" s="1"/>
  <c r="M15" i="63" s="1"/>
  <c r="J9" i="63"/>
  <c r="D8" i="63"/>
  <c r="U20" i="63" l="1"/>
  <c r="AV20" i="63"/>
  <c r="N20" i="63"/>
  <c r="AE20" i="63"/>
  <c r="AE33" i="63" s="1"/>
  <c r="AE34" i="63" s="1"/>
  <c r="D9" i="63"/>
  <c r="D14" i="63" s="1"/>
  <c r="D15" i="63" s="1"/>
  <c r="S20" i="63"/>
  <c r="H20" i="63"/>
  <c r="L20" i="63"/>
  <c r="T20" i="63"/>
  <c r="AB20" i="63"/>
  <c r="AL20" i="63"/>
  <c r="AF20" i="63"/>
  <c r="J20" i="63"/>
  <c r="R20" i="63"/>
  <c r="AJ20" i="63"/>
  <c r="Q20" i="63"/>
  <c r="Q33" i="63" s="1"/>
  <c r="Q34" i="63" s="1"/>
  <c r="AH20" i="63"/>
  <c r="AH33" i="63" s="1"/>
  <c r="AH34" i="63" s="1"/>
  <c r="X20" i="63"/>
  <c r="J14" i="63"/>
  <c r="J15" i="63" s="1"/>
  <c r="K20" i="63"/>
  <c r="O20" i="63"/>
  <c r="AA20" i="63"/>
  <c r="AM20" i="63"/>
  <c r="AK20" i="63"/>
  <c r="E20" i="63"/>
  <c r="I20" i="63"/>
  <c r="M20" i="63"/>
  <c r="P20" i="63"/>
  <c r="Y20" i="63"/>
  <c r="AC20" i="63"/>
  <c r="AR20" i="63"/>
  <c r="P33" i="63" l="1"/>
  <c r="P34" i="63" s="1"/>
  <c r="K33" i="63"/>
  <c r="K34" i="63" s="1"/>
  <c r="AB33" i="63"/>
  <c r="AB34" i="63" s="1"/>
  <c r="AJ33" i="63"/>
  <c r="AJ34" i="63" s="1"/>
  <c r="AM33" i="63"/>
  <c r="AM34" i="63" s="1"/>
  <c r="AF33" i="63"/>
  <c r="AF34" i="63" s="1"/>
  <c r="L33" i="63"/>
  <c r="L34" i="63" s="1"/>
  <c r="AA33" i="63"/>
  <c r="AA34" i="63" s="1"/>
  <c r="X33" i="63"/>
  <c r="X34" i="63" s="1"/>
  <c r="H33" i="63"/>
  <c r="H34" i="63" s="1"/>
  <c r="S33" i="63"/>
  <c r="S34" i="63" s="1"/>
  <c r="N33" i="63"/>
  <c r="N34" i="63" s="1"/>
  <c r="AK33" i="63"/>
  <c r="AK34" i="63" s="1"/>
  <c r="AL33" i="63"/>
  <c r="AL34" i="63" s="1"/>
  <c r="T33" i="63"/>
  <c r="T34" i="63" s="1"/>
  <c r="J33" i="63"/>
  <c r="J34" i="63" s="1"/>
  <c r="AI20" i="63"/>
  <c r="AI33" i="63" s="1"/>
  <c r="AI34" i="63" s="1"/>
  <c r="AS20" i="63"/>
  <c r="AS33" i="63" s="1"/>
  <c r="AS34" i="63" s="1"/>
  <c r="W20" i="63"/>
  <c r="W33" i="63" s="1"/>
  <c r="W34" i="63" s="1"/>
  <c r="G20" i="63"/>
  <c r="G33" i="63" s="1"/>
  <c r="G34" i="63" s="1"/>
  <c r="AP20" i="63"/>
  <c r="AP33" i="63" s="1"/>
  <c r="AP34" i="63" s="1"/>
  <c r="V20" i="63"/>
  <c r="V33" i="63" s="1"/>
  <c r="V34" i="63" s="1"/>
  <c r="R33" i="63"/>
  <c r="R34" i="63" s="1"/>
  <c r="AC33" i="63"/>
  <c r="AC34" i="63" s="1"/>
  <c r="F20" i="63"/>
  <c r="F33" i="63" s="1"/>
  <c r="F34" i="63" s="1"/>
  <c r="AV33" i="63"/>
  <c r="AV34" i="63" s="1"/>
  <c r="Y33" i="63"/>
  <c r="Y34" i="63" s="1"/>
  <c r="I33" i="63"/>
  <c r="I34" i="63" s="1"/>
  <c r="AR33" i="63"/>
  <c r="AR34" i="63" s="1"/>
  <c r="U33" i="63"/>
  <c r="U34" i="63" s="1"/>
  <c r="E33" i="63"/>
  <c r="E34" i="63" s="1"/>
  <c r="O33" i="63"/>
  <c r="O34" i="63" s="1"/>
  <c r="M33" i="63"/>
  <c r="M34" i="63" s="1"/>
  <c r="D20" i="63" l="1"/>
  <c r="D33" i="63" s="1"/>
  <c r="D34" i="63" s="1"/>
  <c r="D32" i="62"/>
  <c r="D31" i="62"/>
  <c r="D30" i="62"/>
  <c r="D29" i="62"/>
  <c r="D27" i="62"/>
  <c r="D28" i="62"/>
  <c r="D26" i="62"/>
  <c r="D25" i="62"/>
  <c r="D24" i="62"/>
  <c r="D23" i="62"/>
  <c r="D22" i="62"/>
  <c r="D20" i="62"/>
  <c r="D19" i="62"/>
  <c r="D34" i="62"/>
  <c r="D33" i="62" s="1"/>
  <c r="D14" i="62"/>
  <c r="D13" i="62"/>
  <c r="AD12" i="62"/>
  <c r="AD11" i="62" s="1"/>
  <c r="AD15" i="62" s="1"/>
  <c r="AD16" i="62" s="1"/>
  <c r="AC11" i="62"/>
  <c r="AC15" i="62" s="1"/>
  <c r="AC16" i="62" s="1"/>
  <c r="AB12" i="62"/>
  <c r="AB11" i="62" s="1"/>
  <c r="AB15" i="62" s="1"/>
  <c r="AB16" i="62" s="1"/>
  <c r="N12" i="62"/>
  <c r="N11" i="62" s="1"/>
  <c r="N15" i="62" s="1"/>
  <c r="N16" i="62" s="1"/>
  <c r="F11" i="62"/>
  <c r="F15" i="62" s="1"/>
  <c r="F16" i="62" s="1"/>
  <c r="E12" i="62"/>
  <c r="E11" i="62" s="1"/>
  <c r="E15" i="62" s="1"/>
  <c r="E16" i="62" s="1"/>
  <c r="Z11" i="62"/>
  <c r="Z15" i="62" s="1"/>
  <c r="Z16" i="62" s="1"/>
  <c r="Y11" i="62"/>
  <c r="Y15" i="62" s="1"/>
  <c r="Y16" i="62" s="1"/>
  <c r="X11" i="62"/>
  <c r="X15" i="62" s="1"/>
  <c r="X16" i="62" s="1"/>
  <c r="W11" i="62"/>
  <c r="W15" i="62" s="1"/>
  <c r="W16" i="62" s="1"/>
  <c r="V11" i="62"/>
  <c r="V15" i="62" s="1"/>
  <c r="V16" i="62" s="1"/>
  <c r="U11" i="62"/>
  <c r="U15" i="62" s="1"/>
  <c r="U16" i="62" s="1"/>
  <c r="T11" i="62"/>
  <c r="T15" i="62" s="1"/>
  <c r="T16" i="62" s="1"/>
  <c r="S11" i="62"/>
  <c r="S15" i="62" s="1"/>
  <c r="S16" i="62" s="1"/>
  <c r="R11" i="62"/>
  <c r="R15" i="62" s="1"/>
  <c r="R16" i="62" s="1"/>
  <c r="Q11" i="62"/>
  <c r="Q15" i="62" s="1"/>
  <c r="Q16" i="62" s="1"/>
  <c r="P11" i="62"/>
  <c r="P15" i="62" s="1"/>
  <c r="P16" i="62" s="1"/>
  <c r="O11" i="62"/>
  <c r="O15" i="62" s="1"/>
  <c r="O16" i="62" s="1"/>
  <c r="M11" i="62"/>
  <c r="M15" i="62" s="1"/>
  <c r="M16" i="62" s="1"/>
  <c r="L11" i="62"/>
  <c r="L15" i="62" s="1"/>
  <c r="L16" i="62" s="1"/>
  <c r="K11" i="62"/>
  <c r="K15" i="62" s="1"/>
  <c r="K16" i="62" s="1"/>
  <c r="J11" i="62"/>
  <c r="J15" i="62" s="1"/>
  <c r="J16" i="62" s="1"/>
  <c r="I11" i="62"/>
  <c r="I15" i="62" s="1"/>
  <c r="I16" i="62" s="1"/>
  <c r="H11" i="62"/>
  <c r="H15" i="62" s="1"/>
  <c r="H16" i="62" s="1"/>
  <c r="G11" i="62"/>
  <c r="G15" i="62" s="1"/>
  <c r="G16" i="62" s="1"/>
  <c r="D10" i="62"/>
  <c r="D9" i="62"/>
  <c r="P12" i="61"/>
  <c r="P13" i="61" s="1"/>
  <c r="O12" i="61"/>
  <c r="O13" i="61" s="1"/>
  <c r="M12" i="61"/>
  <c r="M13" i="61" s="1"/>
  <c r="L12" i="61"/>
  <c r="L13" i="61" s="1"/>
  <c r="J13" i="61"/>
  <c r="F11" i="61"/>
  <c r="D11" i="61" s="1"/>
  <c r="I10" i="61"/>
  <c r="H10" i="61"/>
  <c r="D10" i="61" s="1"/>
  <c r="K8" i="61"/>
  <c r="N7" i="61"/>
  <c r="N12" i="61" s="1"/>
  <c r="N13" i="61" s="1"/>
  <c r="G7" i="61"/>
  <c r="G12" i="61" l="1"/>
  <c r="G13" i="61" s="1"/>
  <c r="D7" i="61"/>
  <c r="K12" i="61"/>
  <c r="K13" i="61" s="1"/>
  <c r="D8" i="61"/>
  <c r="X21" i="62"/>
  <c r="P21" i="62"/>
  <c r="T21" i="62"/>
  <c r="AC21" i="62"/>
  <c r="I21" i="62"/>
  <c r="M21" i="62"/>
  <c r="Q21" i="62"/>
  <c r="U21" i="62"/>
  <c r="U35" i="62" s="1"/>
  <c r="U36" i="62" s="1"/>
  <c r="Y21" i="62"/>
  <c r="AD21" i="62"/>
  <c r="F12" i="61"/>
  <c r="F13" i="61" s="1"/>
  <c r="H18" i="61"/>
  <c r="P18" i="61"/>
  <c r="I12" i="61"/>
  <c r="I13" i="61" s="1"/>
  <c r="H12" i="61"/>
  <c r="H13" i="61" s="1"/>
  <c r="L18" i="61"/>
  <c r="I18" i="61"/>
  <c r="D12" i="62"/>
  <c r="N21" i="62"/>
  <c r="V21" i="62"/>
  <c r="G21" i="62"/>
  <c r="O21" i="62"/>
  <c r="O35" i="62" s="1"/>
  <c r="O36" i="62" s="1"/>
  <c r="S21" i="62"/>
  <c r="W21" i="62"/>
  <c r="H21" i="62"/>
  <c r="F21" i="62"/>
  <c r="F35" i="62" s="1"/>
  <c r="F36" i="62" s="1"/>
  <c r="O18" i="61"/>
  <c r="D15" i="12"/>
  <c r="D12" i="61" l="1"/>
  <c r="D13" i="61" s="1"/>
  <c r="D11" i="62"/>
  <c r="D15" i="62" s="1"/>
  <c r="D16" i="62" s="1"/>
  <c r="Y35" i="62"/>
  <c r="Y36" i="62" s="1"/>
  <c r="I35" i="62"/>
  <c r="I36" i="62" s="1"/>
  <c r="W35" i="62"/>
  <c r="W36" i="62" s="1"/>
  <c r="AD35" i="62"/>
  <c r="AD36" i="62" s="1"/>
  <c r="P35" i="62"/>
  <c r="P36" i="62" s="1"/>
  <c r="X35" i="62"/>
  <c r="X36" i="62" s="1"/>
  <c r="M35" i="62"/>
  <c r="M36" i="62" s="1"/>
  <c r="AC35" i="62"/>
  <c r="AC36" i="62" s="1"/>
  <c r="Q35" i="62"/>
  <c r="Q36" i="62" s="1"/>
  <c r="S35" i="62"/>
  <c r="S36" i="62" s="1"/>
  <c r="T35" i="62"/>
  <c r="T36" i="62" s="1"/>
  <c r="H35" i="62"/>
  <c r="H36" i="62" s="1"/>
  <c r="K21" i="62"/>
  <c r="K35" i="62" s="1"/>
  <c r="K36" i="62" s="1"/>
  <c r="AB21" i="62"/>
  <c r="AB35" i="62" s="1"/>
  <c r="AB36" i="62" s="1"/>
  <c r="E21" i="62"/>
  <c r="E35" i="62" s="1"/>
  <c r="E36" i="62" s="1"/>
  <c r="D21" i="62"/>
  <c r="J21" i="62"/>
  <c r="J35" i="62" s="1"/>
  <c r="J36" i="62" s="1"/>
  <c r="V35" i="62"/>
  <c r="V36" i="62" s="1"/>
  <c r="G35" i="62"/>
  <c r="G36" i="62" s="1"/>
  <c r="R21" i="62"/>
  <c r="R35" i="62" s="1"/>
  <c r="R36" i="62" s="1"/>
  <c r="L21" i="62"/>
  <c r="L35" i="62" s="1"/>
  <c r="L36" i="62" s="1"/>
  <c r="N35" i="62"/>
  <c r="N36" i="62" s="1"/>
  <c r="Z21" i="62"/>
  <c r="Z35" i="62" s="1"/>
  <c r="Z36" i="62" s="1"/>
  <c r="O30" i="61"/>
  <c r="O31" i="61" s="1"/>
  <c r="I30" i="61"/>
  <c r="I31" i="61" s="1"/>
  <c r="P30" i="61"/>
  <c r="P31" i="61" s="1"/>
  <c r="L30" i="61"/>
  <c r="L31" i="61" s="1"/>
  <c r="G18" i="61"/>
  <c r="G30" i="61" s="1"/>
  <c r="G31" i="61" s="1"/>
  <c r="F18" i="61"/>
  <c r="F30" i="61" s="1"/>
  <c r="F31" i="61" s="1"/>
  <c r="J18" i="61"/>
  <c r="J30" i="61" s="1"/>
  <c r="J31" i="61" s="1"/>
  <c r="N18" i="61"/>
  <c r="N30" i="61" s="1"/>
  <c r="N31" i="61" s="1"/>
  <c r="K18" i="61"/>
  <c r="K30" i="61" s="1"/>
  <c r="K31" i="61" s="1"/>
  <c r="M18" i="61"/>
  <c r="M30" i="61" s="1"/>
  <c r="M31" i="61" s="1"/>
  <c r="H30" i="61"/>
  <c r="H31" i="61" s="1"/>
  <c r="D12" i="18"/>
  <c r="D35" i="62" l="1"/>
  <c r="D36" i="62" s="1"/>
  <c r="D31" i="61"/>
  <c r="I15" i="12" l="1"/>
  <c r="H15" i="12"/>
  <c r="H13" i="13" l="1"/>
  <c r="D13" i="13" l="1"/>
  <c r="D20" i="13"/>
  <c r="C8" i="18" l="1"/>
  <c r="C19" i="18" l="1"/>
  <c r="H20" i="13" l="1"/>
  <c r="G13" i="13"/>
  <c r="E13" i="13"/>
  <c r="F15" i="12"/>
  <c r="G15" i="12"/>
  <c r="J15" i="12"/>
  <c r="E15" i="12"/>
  <c r="E12" i="18" l="1"/>
  <c r="B33" i="59" l="1"/>
  <c r="C10" i="59" l="1"/>
  <c r="C9" i="59"/>
  <c r="M9" i="56" l="1"/>
  <c r="M22" i="56" s="1"/>
  <c r="K22" i="56"/>
  <c r="G21" i="19" l="1"/>
  <c r="E21" i="13" l="1"/>
  <c r="F21" i="13"/>
  <c r="G21" i="13"/>
  <c r="H21" i="13"/>
  <c r="D21" i="13"/>
  <c r="C24" i="13"/>
  <c r="D10" i="15"/>
  <c r="D25" i="15" s="1"/>
  <c r="D29" i="15" l="1"/>
  <c r="C33" i="24" l="1"/>
  <c r="C21" i="24"/>
  <c r="E9" i="56" l="1"/>
  <c r="E22" i="56" s="1"/>
  <c r="D9" i="56"/>
  <c r="F25" i="21" l="1"/>
  <c r="F9" i="56" l="1"/>
  <c r="G9" i="56"/>
  <c r="H9" i="56"/>
  <c r="I9" i="56"/>
  <c r="J9" i="56"/>
  <c r="L9" i="56"/>
  <c r="N9" i="56"/>
  <c r="C21" i="19"/>
  <c r="D21" i="19"/>
  <c r="E21" i="19"/>
  <c r="F21" i="19"/>
  <c r="E10" i="15" l="1"/>
  <c r="E25" i="15" s="1"/>
  <c r="C30" i="12"/>
  <c r="H12" i="12" l="1"/>
  <c r="G11" i="17" l="1"/>
  <c r="C31" i="12" l="1"/>
  <c r="J11" i="17" l="1"/>
  <c r="H22" i="56" l="1"/>
  <c r="L22" i="56"/>
  <c r="I22" i="56"/>
  <c r="F22" i="56" l="1"/>
  <c r="J22" i="56"/>
  <c r="G22" i="56"/>
  <c r="N22" i="56"/>
  <c r="C22" i="56"/>
  <c r="D10" i="21" l="1"/>
  <c r="D25" i="21" s="1"/>
  <c r="F38" i="19" l="1"/>
  <c r="F20" i="18" l="1"/>
  <c r="F10" i="18"/>
  <c r="F24" i="18" l="1"/>
  <c r="C30" i="13"/>
  <c r="C29" i="13"/>
  <c r="F44" i="19" l="1"/>
  <c r="H22" i="17" l="1"/>
  <c r="F41" i="19" l="1"/>
  <c r="F47" i="19" s="1"/>
  <c r="E10" i="19" l="1"/>
  <c r="F11" i="17"/>
  <c r="F22" i="17" s="1"/>
  <c r="E27" i="19" l="1"/>
  <c r="G10" i="19" l="1"/>
  <c r="C10" i="16"/>
  <c r="C12" i="13"/>
  <c r="C15" i="12"/>
  <c r="E11" i="17"/>
  <c r="E22" i="17" s="1"/>
  <c r="G10" i="21"/>
  <c r="G25" i="21" s="1"/>
  <c r="F10" i="13"/>
  <c r="G10" i="13"/>
  <c r="C10" i="21"/>
  <c r="C25" i="21" s="1"/>
  <c r="G22" i="17"/>
  <c r="D11" i="17"/>
  <c r="D22" i="17" s="1"/>
  <c r="C10" i="19"/>
  <c r="D10" i="16"/>
  <c r="C20" i="13"/>
  <c r="J12" i="12"/>
  <c r="I12" i="12"/>
  <c r="G12" i="12"/>
  <c r="F12" i="12"/>
  <c r="D12" i="12"/>
  <c r="C14" i="12"/>
  <c r="C11" i="29"/>
  <c r="C24" i="29" s="1"/>
  <c r="E10" i="21"/>
  <c r="E25" i="21" s="1"/>
  <c r="H10" i="21"/>
  <c r="H25" i="21" s="1"/>
  <c r="I10" i="21"/>
  <c r="I25" i="21" s="1"/>
  <c r="D10" i="18"/>
  <c r="E10" i="18"/>
  <c r="C20" i="18"/>
  <c r="D20" i="18"/>
  <c r="E20" i="18"/>
  <c r="C11" i="17"/>
  <c r="C22" i="17" s="1"/>
  <c r="C20" i="16"/>
  <c r="D20" i="16"/>
  <c r="E29" i="15"/>
  <c r="C8" i="13"/>
  <c r="C9" i="13"/>
  <c r="E10" i="13"/>
  <c r="C11" i="13"/>
  <c r="H10" i="13"/>
  <c r="C14" i="13"/>
  <c r="C15" i="13"/>
  <c r="C16" i="13"/>
  <c r="C17" i="13"/>
  <c r="C18" i="13"/>
  <c r="C22" i="13"/>
  <c r="C23" i="13"/>
  <c r="C25" i="13"/>
  <c r="C27" i="13"/>
  <c r="C28" i="13"/>
  <c r="C13" i="12"/>
  <c r="E12" i="12"/>
  <c r="C16" i="12"/>
  <c r="C17" i="12"/>
  <c r="C18" i="12"/>
  <c r="C19" i="12"/>
  <c r="C20" i="12"/>
  <c r="D22" i="12"/>
  <c r="E22" i="12"/>
  <c r="F22" i="12"/>
  <c r="G22" i="12"/>
  <c r="H22" i="12"/>
  <c r="H27" i="12" s="1"/>
  <c r="I22" i="12"/>
  <c r="J22" i="12"/>
  <c r="C23" i="12"/>
  <c r="C24" i="12"/>
  <c r="C25" i="12"/>
  <c r="C26" i="12"/>
  <c r="C13" i="13"/>
  <c r="C28" i="12"/>
  <c r="C19" i="13"/>
  <c r="C21" i="12"/>
  <c r="J22" i="17"/>
  <c r="C11" i="12"/>
  <c r="C10" i="12"/>
  <c r="D10" i="13"/>
  <c r="D27" i="12" l="1"/>
  <c r="D32" i="12" s="1"/>
  <c r="H32" i="12"/>
  <c r="C21" i="13"/>
  <c r="D26" i="13"/>
  <c r="C27" i="19"/>
  <c r="F27" i="12"/>
  <c r="C25" i="16"/>
  <c r="C22" i="12"/>
  <c r="F26" i="13"/>
  <c r="F31" i="13" s="1"/>
  <c r="G27" i="19"/>
  <c r="D27" i="19"/>
  <c r="E26" i="13"/>
  <c r="I27" i="12"/>
  <c r="D24" i="18"/>
  <c r="J27" i="12"/>
  <c r="E24" i="18"/>
  <c r="C12" i="12"/>
  <c r="H26" i="13"/>
  <c r="F27" i="19"/>
  <c r="G27" i="12"/>
  <c r="G26" i="13"/>
  <c r="C10" i="13"/>
  <c r="E27" i="12"/>
  <c r="D31" i="13" l="1"/>
  <c r="C27" i="12"/>
  <c r="C32" i="12" s="1"/>
  <c r="E31" i="13"/>
  <c r="E32" i="12"/>
  <c r="J32" i="12"/>
  <c r="H31" i="13"/>
  <c r="C28" i="16"/>
  <c r="G32" i="12"/>
  <c r="G31" i="13"/>
  <c r="I32" i="12"/>
  <c r="F32" i="12"/>
  <c r="C26" i="13"/>
  <c r="C31" i="13" s="1"/>
  <c r="D25" i="16" l="1"/>
  <c r="C10" i="18"/>
  <c r="C24" i="18" l="1"/>
  <c r="D28" i="16"/>
  <c r="D22" i="56"/>
</calcChain>
</file>

<file path=xl/sharedStrings.xml><?xml version="1.0" encoding="utf-8"?>
<sst xmlns="http://schemas.openxmlformats.org/spreadsheetml/2006/main" count="1271" uniqueCount="641">
  <si>
    <t>PAMATBUDŽETS</t>
  </si>
  <si>
    <t>Cīrulītis</t>
  </si>
  <si>
    <t>Dzīpariņš</t>
  </si>
  <si>
    <t>Zelta sietiņš</t>
  </si>
  <si>
    <t>Saulīte</t>
  </si>
  <si>
    <t>Ābelīte</t>
  </si>
  <si>
    <t>Strautiņš</t>
  </si>
  <si>
    <t>Kods</t>
  </si>
  <si>
    <t>Ieņēmumi</t>
  </si>
  <si>
    <t>Ārvalstu finanšu palīdzība</t>
  </si>
  <si>
    <t>Izdevumi</t>
  </si>
  <si>
    <t>Darba samaksa</t>
  </si>
  <si>
    <t>Darba devēja valsts sociālās apdrošināšanas obligātās iemaksas, sociālā rakstura pabalsti un kompensācija</t>
  </si>
  <si>
    <t>Preces un pakalpojumi</t>
  </si>
  <si>
    <t>Komandējumi un dienesta braucieni</t>
  </si>
  <si>
    <t>Pakalpojumi</t>
  </si>
  <si>
    <t>Krājumi,materiāli,energoresursi,prece,biroja preces un inventārs, ko neuzskaita  5000. kodā</t>
  </si>
  <si>
    <t>Budžeta iestāžu nodokļu maksājumi</t>
  </si>
  <si>
    <t>Subsīdijas komersantiem, sabiedriskajām org. un citām institūcijām</t>
  </si>
  <si>
    <t>Procentu maksājumi iekšzemes kredītiestādēm</t>
  </si>
  <si>
    <t xml:space="preserve">Pārējie procentu maksājumi </t>
  </si>
  <si>
    <t>Pašvaldību bužetu procentu maksājumi Valsts Kasei</t>
  </si>
  <si>
    <t>Nemateriālie ieguldījumi</t>
  </si>
  <si>
    <t>Pamatlīdzekļi</t>
  </si>
  <si>
    <t xml:space="preserve">Sociālie pabalsti naudā </t>
  </si>
  <si>
    <t>Pašvaldību budžeta kārtējo izdevumu transferti</t>
  </si>
  <si>
    <t xml:space="preserve"> IZDEVUMI KOPĀ</t>
  </si>
  <si>
    <t>Ogres 1.vidussk.</t>
  </si>
  <si>
    <t>Ogresgala pamatsk.</t>
  </si>
  <si>
    <t>Pasākums</t>
  </si>
  <si>
    <t>Kopā:</t>
  </si>
  <si>
    <t>Elektrības patēriņam</t>
  </si>
  <si>
    <t>Sporta centrs</t>
  </si>
  <si>
    <t>Basketbol skola</t>
  </si>
  <si>
    <t>Kopā</t>
  </si>
  <si>
    <t>Bibliotēka</t>
  </si>
  <si>
    <t>Pašvaldības policija</t>
  </si>
  <si>
    <t>Soc. dienests</t>
  </si>
  <si>
    <t>Soc. pabalsti</t>
  </si>
  <si>
    <t>Ieņēmumi - KOPĀ</t>
  </si>
  <si>
    <t>Dotācija no VB</t>
  </si>
  <si>
    <t>S.Velberga</t>
  </si>
  <si>
    <t>Dzīvnieku patversmes uzturēšana</t>
  </si>
  <si>
    <t>Izd.nepar. gadījum.</t>
  </si>
  <si>
    <t>01.720</t>
  </si>
  <si>
    <t>Parādu darījumi</t>
  </si>
  <si>
    <t xml:space="preserve">   Izdevuma pozīcijas nosaukums             </t>
  </si>
  <si>
    <t>Pārvietojamo tualešu uzturēšana</t>
  </si>
  <si>
    <t>Mērķdotācijas</t>
  </si>
  <si>
    <t xml:space="preserve">Ogres novada pašvaldības sabiedriskās kārtības un drošības izdevumu tāme pēc </t>
  </si>
  <si>
    <t xml:space="preserve">Ogres novada pašvaldības sociālās aizsardzības izdevumu tāmes pēc </t>
  </si>
  <si>
    <t xml:space="preserve">KOPĀ </t>
  </si>
  <si>
    <t>Izpildvara</t>
  </si>
  <si>
    <t xml:space="preserve">Ogres novada pašvaldības vispārējo valdības dienestu izdevumu tāme pēc </t>
  </si>
  <si>
    <t>Struktūrvienības klasifikācijas kods 01.000</t>
  </si>
  <si>
    <t>09.211</t>
  </si>
  <si>
    <t>Ogres novada Sporta attīstības komisija</t>
  </si>
  <si>
    <t>frisbijs</t>
  </si>
  <si>
    <t xml:space="preserve">Sociālie pabalsti </t>
  </si>
  <si>
    <t>Sociālie pabalsti natūrā</t>
  </si>
  <si>
    <t>Izdevumi periodikas iegādie</t>
  </si>
  <si>
    <t>Izdevumi periodikas iegādei</t>
  </si>
  <si>
    <t>Mērķdotācijas 5-6 gadīgo apmācībai</t>
  </si>
  <si>
    <t>Mērķdotācijas interešu izgl.</t>
  </si>
  <si>
    <t>Būvvalde</t>
  </si>
  <si>
    <t>Dotācija pedagogiem</t>
  </si>
  <si>
    <t>hokejs</t>
  </si>
  <si>
    <t>Saņemtie projektu līdzekļi</t>
  </si>
  <si>
    <t>Video novēroš.</t>
  </si>
  <si>
    <t>handbols</t>
  </si>
  <si>
    <t>novuss</t>
  </si>
  <si>
    <t>Atbalsts bezdarba gadījumā</t>
  </si>
  <si>
    <t>Sporta pasākumi</t>
  </si>
  <si>
    <t>Riekstiņš</t>
  </si>
  <si>
    <t>florbols</t>
  </si>
  <si>
    <t>Pārējie maksājumi iedzīvotājiem natūrā un kompensācijas</t>
  </si>
  <si>
    <t>Ogres sākumsk.</t>
  </si>
  <si>
    <t>Aprūpes pakalpojumi</t>
  </si>
  <si>
    <t>08.1001</t>
  </si>
  <si>
    <t>08.2202</t>
  </si>
  <si>
    <t>08.29002</t>
  </si>
  <si>
    <t>10.70001</t>
  </si>
  <si>
    <t>10.70002</t>
  </si>
  <si>
    <t>08.210</t>
  </si>
  <si>
    <t>09.21901</t>
  </si>
  <si>
    <t>09.21902</t>
  </si>
  <si>
    <t>09.21903</t>
  </si>
  <si>
    <t>09.21904</t>
  </si>
  <si>
    <t>09.10002</t>
  </si>
  <si>
    <t>09.10003</t>
  </si>
  <si>
    <t>09.10004</t>
  </si>
  <si>
    <t>09.10005</t>
  </si>
  <si>
    <t>09.10006</t>
  </si>
  <si>
    <t>09.10007</t>
  </si>
  <si>
    <t>09.10008</t>
  </si>
  <si>
    <t>09.5101</t>
  </si>
  <si>
    <t>09.5102</t>
  </si>
  <si>
    <t>06.60006</t>
  </si>
  <si>
    <t>06.60009</t>
  </si>
  <si>
    <t>Dotāc. Komers.,biedrībām un nodibinājumiem</t>
  </si>
  <si>
    <t>vieglatlētika</t>
  </si>
  <si>
    <t>dažādi</t>
  </si>
  <si>
    <t>Raivo Kivlenieks</t>
  </si>
  <si>
    <t>Andris Kivlenieks</t>
  </si>
  <si>
    <t>airēšana</t>
  </si>
  <si>
    <t>daiļslidošana</t>
  </si>
  <si>
    <t>Ogres Valsts ģimnāzija</t>
  </si>
  <si>
    <t xml:space="preserve">Struktūrvienības klasifikācijas kods  09.100  </t>
  </si>
  <si>
    <t>Strūklakas uzturēšana</t>
  </si>
  <si>
    <t>sporta veids</t>
  </si>
  <si>
    <t>orientēšanās</t>
  </si>
  <si>
    <t>biedrība ''MNK'', ''Vilnis''</t>
  </si>
  <si>
    <t>basketbols</t>
  </si>
  <si>
    <t>biedrība ''Ogres vilki''</t>
  </si>
  <si>
    <t>autokross</t>
  </si>
  <si>
    <t xml:space="preserve">Ogres novada pašvaldības PII iestāžu izdevumu tāmes pēc </t>
  </si>
  <si>
    <t xml:space="preserve">Ogres novada pašvaldības vidusskolu un pamatskolu izdevumu tāme pēc </t>
  </si>
  <si>
    <t xml:space="preserve">Ogres novada pašvaldības Interešu un profesionālās ievirzes izglītības iestāžu izdevumu tāme pēc </t>
  </si>
  <si>
    <t xml:space="preserve">Struktūrvienības klasifikācijas kods </t>
  </si>
  <si>
    <t xml:space="preserve">Ogres novada pašvaldības kultūras iestāžu izdevumu tāme pēc </t>
  </si>
  <si>
    <t>Civilās drošības dien.</t>
  </si>
  <si>
    <t>Ogres un Ogresgala bāriņtiesa</t>
  </si>
  <si>
    <t>Koplietošanas telpu elektropatēriņa izmaksas soc.mājās</t>
  </si>
  <si>
    <t>Andris Sarksņa</t>
  </si>
  <si>
    <t>Izmaksas (EUR)</t>
  </si>
  <si>
    <t>( EUR)</t>
  </si>
  <si>
    <t>iedalīts sabiedr.organizācijām</t>
  </si>
  <si>
    <t>Informatīvi pasākumi uzņēmējiem</t>
  </si>
  <si>
    <t>Starptautiskā sadarbība</t>
  </si>
  <si>
    <t>Pašvaldību kapitālo izdevumu transferti uz valsts budžetu</t>
  </si>
  <si>
    <t>biedrība ''Ogres Frisbija klubs''</t>
  </si>
  <si>
    <t>biedrība ''OK Ogre''</t>
  </si>
  <si>
    <t>biedrība ''Vilnis''</t>
  </si>
  <si>
    <t>biedrība ''Ogres Juniors''</t>
  </si>
  <si>
    <t>biedrība ''Slidotprieks''</t>
  </si>
  <si>
    <t>skriešanas komanda</t>
  </si>
  <si>
    <t>biedrība ''Karatē sen-e''</t>
  </si>
  <si>
    <t>karatē</t>
  </si>
  <si>
    <t>biedrība ''Ogres FK''</t>
  </si>
  <si>
    <t>Ogres novada izlases</t>
  </si>
  <si>
    <t>Ogres sporta senioru izlases</t>
  </si>
  <si>
    <t>Izlašu dalībnieki, iesniegumi</t>
  </si>
  <si>
    <t>Dalības LV izlases sastāvā</t>
  </si>
  <si>
    <t>Mājas lapa, foto, raksti</t>
  </si>
  <si>
    <t>biedrība ''Osports''</t>
  </si>
  <si>
    <t>mājas lapa</t>
  </si>
  <si>
    <t>06.6002 Plānotais budžets siltumapgādei.</t>
  </si>
  <si>
    <t>Nekustamā īpašuma Rietumu ielā 1 iegādei</t>
  </si>
  <si>
    <t>Kompensācijas, kuras izmaksā personām, pamatojoties uz tiesas nolēmumiem</t>
  </si>
  <si>
    <t>Budžeta nod. vadītāja:</t>
  </si>
  <si>
    <t xml:space="preserve">Kopā Invalību biedrībai </t>
  </si>
  <si>
    <t>Vēstures, mākslas muzejs</t>
  </si>
  <si>
    <t>Pilsētas dekorēš. svētkiem</t>
  </si>
  <si>
    <t>Informat. izdevumi</t>
  </si>
  <si>
    <t>Jaunogres vidussk.</t>
  </si>
  <si>
    <t>Budžeta nodaļas vadītāja:</t>
  </si>
  <si>
    <t>IZPILDE 2015.GADS</t>
  </si>
  <si>
    <t>biedrība ''sporta klubs ''Ogre''</t>
  </si>
  <si>
    <t xml:space="preserve">frisbijs </t>
  </si>
  <si>
    <t>Nr.</t>
  </si>
  <si>
    <t>Funkcijas nosaukums</t>
  </si>
  <si>
    <t xml:space="preserve">Pilsētas teritoriju sanitārā apkope </t>
  </si>
  <si>
    <t>Autobusu pieturu un soliņu remonti</t>
  </si>
  <si>
    <t>Koku un krūmu kopšana, zāģēšana, izciršana, izvešana</t>
  </si>
  <si>
    <t>Bērnu rotaļu laukumu labiekārtošana, aprīkojuma apkope</t>
  </si>
  <si>
    <t>Labiekārtošanas darbi  Ogresgala pagastā - pļaušana, apstādījumu kopšana</t>
  </si>
  <si>
    <t>Pilsētas apzaļumošana</t>
  </si>
  <si>
    <t>Sociālo funkciju realizācijai soc.mājās</t>
  </si>
  <si>
    <t>Sociālo māju remontdarbi</t>
  </si>
  <si>
    <t>Pašvaldības dzīvokļu remonts</t>
  </si>
  <si>
    <t>Pilsētas lietus kanalizācijas ekspluatācija un remonts</t>
  </si>
  <si>
    <t>Polderu sūknētavas ekspluatācija</t>
  </si>
  <si>
    <t>Peldošas platformas un konstruktīvo materiālu uzstādīšana un demontāža Krasta ielas promenādē</t>
  </si>
  <si>
    <t>Ielu apgaismojuma izmaksas Indrānu ielā</t>
  </si>
  <si>
    <t>Pārsūknēšanas stacijas Ogre-3 elektroenerģijas izmaksas</t>
  </si>
  <si>
    <t>Apkure un īre pašvaldības tukšajos dzīvokļos</t>
  </si>
  <si>
    <t>Ceļazīmju, ielu nosaukumu zīmju un aizsargbarjeru uzstādīšana un uzturēšana</t>
  </si>
  <si>
    <t>Pārņemto domes komunālās nodaļas funkciju realizācija</t>
  </si>
  <si>
    <t>Kapu uzturēšana</t>
  </si>
  <si>
    <t>Finansējums skolām un pašvaldības iestādēm par baseinu</t>
  </si>
  <si>
    <t>Finansējums atlaidēm par baseinu un sporta klubam Ogre</t>
  </si>
  <si>
    <t>Finansējums Meža 9 uzturēšanai</t>
  </si>
  <si>
    <t>Finasējums  remontam</t>
  </si>
  <si>
    <t>05.1007</t>
  </si>
  <si>
    <t>Koncesija atkritumu apsaimniekošana</t>
  </si>
  <si>
    <t>09.82030</t>
  </si>
  <si>
    <t xml:space="preserve">Ogres novada pašvaldības Interešu un profesionālās ievirzes izglītības iestāžu izdevumu </t>
  </si>
  <si>
    <r>
      <t xml:space="preserve">Struktūrvienības klasifikācijas kods </t>
    </r>
    <r>
      <rPr>
        <b/>
        <sz val="12"/>
        <rFont val="Arial"/>
        <family val="2"/>
        <charset val="186"/>
      </rPr>
      <t/>
    </r>
  </si>
  <si>
    <t>10.70015</t>
  </si>
  <si>
    <t>04.11101 Uzņēmējdarbības  attīstības veicināšanai</t>
  </si>
  <si>
    <t>Skolēnu vasaras darbs</t>
  </si>
  <si>
    <t>Elektro pieslēgumu ierīkošanai</t>
  </si>
  <si>
    <t>08.29001</t>
  </si>
  <si>
    <t>Kultūras aktivitātes</t>
  </si>
  <si>
    <t>Kultūras aktivitātes   08.29001</t>
  </si>
  <si>
    <t>Aktivitāte</t>
  </si>
  <si>
    <t>Summa (EUR)</t>
  </si>
  <si>
    <t>EKK</t>
  </si>
  <si>
    <t>Sabiedrisko organizāciju pasākumu organizēšanai</t>
  </si>
  <si>
    <t>Ziemassvētku paciņas sabiedriskajām organizācijām</t>
  </si>
  <si>
    <t xml:space="preserve">Pārējo kultūras pasākumu atbalstam </t>
  </si>
  <si>
    <t>10.70003</t>
  </si>
  <si>
    <t>Soc. dienesta asistentu pakalpojumi</t>
  </si>
  <si>
    <t>Savst. norēķ. izgl.</t>
  </si>
  <si>
    <t>Savst. norēķ.soc.apr.</t>
  </si>
  <si>
    <t>Nakts patversmes uzturēšana Mālkalnes pr.30</t>
  </si>
  <si>
    <t>PAVISAM KOPĀ</t>
  </si>
  <si>
    <t>KOPĀ</t>
  </si>
  <si>
    <t>Ogres ziņas</t>
  </si>
  <si>
    <t>foto, raksti</t>
  </si>
  <si>
    <t xml:space="preserve">                                              Līdzekļu atlikums uz gada sākumu</t>
  </si>
  <si>
    <t>Dotācija no visp. ieņēm.(pašv.līdzf.)</t>
  </si>
  <si>
    <t xml:space="preserve">                                                                                                        Līdzekļi pavisam ar  atlikumu</t>
  </si>
  <si>
    <t>Grāmatas un periodiskie izdevumi</t>
  </si>
  <si>
    <t>Dotācijas biedrībām un nodibinājumiem</t>
  </si>
  <si>
    <t>Pašvaldību uzturēšanas izdevumu transferti uz valsts budžetu</t>
  </si>
  <si>
    <t>07.4501</t>
  </si>
  <si>
    <t>Novērst plūdu un krasta erozijas risku apdraudējumu Ogres pilsētas teritorijā, veicot vecā aizsargdambja pārbūvi un jauna aizsargmola (straumvirzes) būvniecību pie Ogres upes ietekas Daugavā</t>
  </si>
  <si>
    <t>SAM 9.2.4.2. Pasākumi vietējās sabiedrības slimību profilaksei un veselības veicināšanai</t>
  </si>
  <si>
    <t xml:space="preserve">ES Projekta finansējums </t>
  </si>
  <si>
    <t>Kopā "Aspazija"</t>
  </si>
  <si>
    <t>09.8101</t>
  </si>
  <si>
    <t>08.3301</t>
  </si>
  <si>
    <t>03.1101</t>
  </si>
  <si>
    <t>03.2001</t>
  </si>
  <si>
    <t>03.6001</t>
  </si>
  <si>
    <t>10.5001</t>
  </si>
  <si>
    <t>01.1001</t>
  </si>
  <si>
    <t>01.83011</t>
  </si>
  <si>
    <t>01.83012</t>
  </si>
  <si>
    <t>01.8901</t>
  </si>
  <si>
    <t>04.4301</t>
  </si>
  <si>
    <t>04.2103</t>
  </si>
  <si>
    <t>04.11102</t>
  </si>
  <si>
    <t>04.11103</t>
  </si>
  <si>
    <t>Ralfs Prancāns</t>
  </si>
  <si>
    <t>10.70006</t>
  </si>
  <si>
    <t>08.29007</t>
  </si>
  <si>
    <t>Papildus aktivitātes  Ogres novada pašvaldības iestādēs (vasaras nometnes)</t>
  </si>
  <si>
    <t>01.8201</t>
  </si>
  <si>
    <t>Vispārēja rakstura transferti no pašvaldību budžeta valsts budžetam</t>
  </si>
  <si>
    <t>09.82001</t>
  </si>
  <si>
    <t>09.82039</t>
  </si>
  <si>
    <t>Zaudējumi no valūtas kursa svārstībām</t>
  </si>
  <si>
    <t>Mērķdotācijas tautas kolektīvu vad.</t>
  </si>
  <si>
    <t>Reinis Jurka</t>
  </si>
  <si>
    <t>Austris Brazevičs</t>
  </si>
  <si>
    <t>Plāns</t>
  </si>
  <si>
    <t>Ogres novadnieka karte</t>
  </si>
  <si>
    <t>Finansējums asistenta pakalpojumiem</t>
  </si>
  <si>
    <t>03.6002</t>
  </si>
  <si>
    <t>Atskurbtuves pakalpojumiem</t>
  </si>
  <si>
    <t>04.11116</t>
  </si>
  <si>
    <t>08.29011</t>
  </si>
  <si>
    <t xml:space="preserve">Ogres pensionāru biedrībai - darbības atbalstam   </t>
  </si>
  <si>
    <t xml:space="preserve">Latvijas neredzīgo biedrība - darbības atbalstam   </t>
  </si>
  <si>
    <t xml:space="preserve">Inval. Biedr.inventāra, aparatūras rem. </t>
  </si>
  <si>
    <t>Rokdarbu izstādes organizēšanai</t>
  </si>
  <si>
    <t xml:space="preserve">Latvijas sieviešu invalīdu apvienība "Aspazija" - 3 interaktīvu pasākumu daļējai finansēšanai </t>
  </si>
  <si>
    <t>KOPĀ sabiedriskām organizācijām EKK 3200</t>
  </si>
  <si>
    <t xml:space="preserve">Represētajiem finansiāls pabalsts 18. novembrī </t>
  </si>
  <si>
    <t>Inval. Biedr. balvu ieg. sporta spēļu uzvar.</t>
  </si>
  <si>
    <t xml:space="preserve">Inval. Biedr. kancelejas precēm </t>
  </si>
  <si>
    <t>01.6001</t>
  </si>
  <si>
    <t>Vēlēšanu komisija</t>
  </si>
  <si>
    <t xml:space="preserve">Izdevumi ceļu malu zāles pļaušanai  Ogresgala pagastā                                             </t>
  </si>
  <si>
    <t>Finansējums peldbaseinam "Neptūns"</t>
  </si>
  <si>
    <t>Garāžu noma</t>
  </si>
  <si>
    <t>Ielu apgaismojuma rekonstrukcijas darbiem saskaņā ar Latvenergo plānotajiem remontiem</t>
  </si>
  <si>
    <t>Ielu apgaismojuma remontiem</t>
  </si>
  <si>
    <t>Elektroenerģijas tirgus izpētei un uzraudzībai</t>
  </si>
  <si>
    <t>Pasta, telefona un citu sakaru pakalpojumiem</t>
  </si>
  <si>
    <t>Kapu apgaismojumam</t>
  </si>
  <si>
    <t>Dekoratīvo krūmu, koku stādīšanai un atjaunošanai  pilsētā</t>
  </si>
  <si>
    <t>Koku ciršanai, vainagošanai, zaru apgriešanai Ogrē un Ogresgala pag.</t>
  </si>
  <si>
    <t>Karims Ali</t>
  </si>
  <si>
    <t>Artūrs Pastors</t>
  </si>
  <si>
    <t>Paula Boķe</t>
  </si>
  <si>
    <t>kamaniņu sports</t>
  </si>
  <si>
    <t xml:space="preserve">Ogres novada pašvaldības Projektu ieņēmumu un izdevumu tāmes pēc </t>
  </si>
  <si>
    <t>08.4001</t>
  </si>
  <si>
    <t>04.51015</t>
  </si>
  <si>
    <t>10.70009</t>
  </si>
  <si>
    <t>Dotācija no visp. ieņēm.(pašv.finansējums)</t>
  </si>
  <si>
    <t>Nepieciešmais kredīts</t>
  </si>
  <si>
    <t>No iepriekšējā gada pārejošais kredīts</t>
  </si>
  <si>
    <t>04.2102</t>
  </si>
  <si>
    <t>05.30002</t>
  </si>
  <si>
    <t>08.29012</t>
  </si>
  <si>
    <t>10.70016</t>
  </si>
  <si>
    <t xml:space="preserve">Centrālās Baltijas jūras reģiona programmas projekts "Nordic urban planning:  holistic approach for extreme weather" (NOAH) </t>
  </si>
  <si>
    <t xml:space="preserve"> </t>
  </si>
  <si>
    <t>09.82002</t>
  </si>
  <si>
    <t>09.82003</t>
  </si>
  <si>
    <t>09.82004</t>
  </si>
  <si>
    <t>09.82005</t>
  </si>
  <si>
    <t>09.82009</t>
  </si>
  <si>
    <t>09.82045</t>
  </si>
  <si>
    <t>09.82046</t>
  </si>
  <si>
    <t>09.82010</t>
  </si>
  <si>
    <t xml:space="preserve">Erasmus + programmas projekts Nr.2018-1-FR01-KA229-047933 3 (ģimnāzija) </t>
  </si>
  <si>
    <t xml:space="preserve">Erasmus + programmas projekts Nr.2018-1-PT01-KA229-047540 6 (ģimnāzija) </t>
  </si>
  <si>
    <t>Erasmus + programmas projekts Nr.2018-1-ES01-KA229-050191 3. Kultūra uz skatuves (ģimnāzija)</t>
  </si>
  <si>
    <t xml:space="preserve">Erasmus + programmas projekts Nr.2018-1-EE01-KA229-047133 4 Darbīgās bites (Dzīpariņš) </t>
  </si>
  <si>
    <t>Sadarbībā ar Rīgas tehnisko universitāti, Māturības un tehnoloģju mācību kabineta aprīkošanā 1. vidusskolā</t>
  </si>
  <si>
    <t>ES programma Izaugsme un nodarbinātībā, projekts "Proti un Dari" 8.3.3.0/15/I/001</t>
  </si>
  <si>
    <t>ES projekts "Deinstitucionalizācija un sociālie pakalpojumi personām ar invaliditāti un bērniem" 9.2.2.1/15/I/002</t>
  </si>
  <si>
    <t>(pašv.līdzf.)Dotācija no visp. ieņēm.</t>
  </si>
  <si>
    <t>Budžeta iestāžu nodokļu, nodevu un sankciju maksājumi</t>
  </si>
  <si>
    <t xml:space="preserve">Ogres novada pašvaldības kultūras iestāžu izdevumu tāmes pēc </t>
  </si>
  <si>
    <t>Struktūrvienības klasifikācijas kods ________________________</t>
  </si>
  <si>
    <t>01.83013</t>
  </si>
  <si>
    <t>04.7301</t>
  </si>
  <si>
    <t>06.60007</t>
  </si>
  <si>
    <t>06.60008</t>
  </si>
  <si>
    <t>07.4502</t>
  </si>
  <si>
    <t>08.3101</t>
  </si>
  <si>
    <t>09.10010</t>
  </si>
  <si>
    <t>09.60010</t>
  </si>
  <si>
    <t>09.60020</t>
  </si>
  <si>
    <t>Finans. PA TAA Zilie kalni</t>
  </si>
  <si>
    <t>Tūrisma informācijas centrs</t>
  </si>
  <si>
    <t>Īpaš. uzmērīš., reģistrēš. Zemesgrām.</t>
  </si>
  <si>
    <t>Pārējie izdev.</t>
  </si>
  <si>
    <t xml:space="preserve">     Veselības veicināšanas pasākumiem</t>
  </si>
  <si>
    <t>Televīzija</t>
  </si>
  <si>
    <t>Finans. bērniem, kuri apmeklē priv. PII</t>
  </si>
  <si>
    <t>Izglīt. papildus pakalpoj. PII ēdin.kompensāc.</t>
  </si>
  <si>
    <t>Izglīt. papildus pakalpoj.skolēnu pārvadāj.</t>
  </si>
  <si>
    <t>Mācību, darba un dienesta komandējumi, darba braucieni</t>
  </si>
  <si>
    <t>Kopā "Latvijas Sarkanais krusts Viduslatvijas komiteja":</t>
  </si>
  <si>
    <t>09.82011</t>
  </si>
  <si>
    <t>09.82032</t>
  </si>
  <si>
    <t>10.70011</t>
  </si>
  <si>
    <t>Sociālo pakalpojumu atbalsta sistēmas pilnveide projekta (GRT) Nr.9.2.2.2/16/I/001.</t>
  </si>
  <si>
    <t>Erasmus+programmas projekts "ALLready a Success to School Life" (Pilnībā gatavs veiksmei skolā) Nr.2018-1-TR01-KA201-059716.Sākumsk.</t>
  </si>
  <si>
    <t>Ģimnāzijai reģionālā metod.centra un pedagogu tālākizglītības centra darbības nodrošin. visp. izgl. iest. pedagogiem</t>
  </si>
  <si>
    <t>Mērķdotācija līdz 5 gadu vecumam PII "Zelta sietiņš" speciālajā grupā</t>
  </si>
  <si>
    <t>Ivo Bombāns</t>
  </si>
  <si>
    <t>Ciemupes peldētavas ierīkošanas apliecinājuma kartes izstrādei un  daļējai izbūvei</t>
  </si>
  <si>
    <t>"Sibīrijas bērni" organizēto pasākumu atbalstam</t>
  </si>
  <si>
    <t>Starptautiskās Veco ļaužu dienas organizēšana</t>
  </si>
  <si>
    <t>Zelta un dimanta kāzu jubilāru pasākumu organizēšana</t>
  </si>
  <si>
    <t>Atvadīšanās no ziemas un pavasara sagaidīšana - Masļeņica</t>
  </si>
  <si>
    <t>Ogresgala pagasta svētku organizēšanai</t>
  </si>
  <si>
    <t>Sakoptākais namīpašums Ogrē, transporta izdevumi</t>
  </si>
  <si>
    <t>Sakoptākais namīpašums Ogrē, noslēguma pasākumam</t>
  </si>
  <si>
    <t>Sakoptākā lauku sēta Ogres novadā 2020, naudas balvām</t>
  </si>
  <si>
    <t>Sakoptākā lauku sēta Ogres novadā 2020, noslēguma pasākumam</t>
  </si>
  <si>
    <t>Naudas balvas 100 gadu un vecākām Ogres novadā dekl.personām</t>
  </si>
  <si>
    <t>Apbalvojumi Ogres Goda pilsoņiem un Gada Ogrēnietis 2020</t>
  </si>
  <si>
    <t>10.70010</t>
  </si>
  <si>
    <t>Latvijas Sarkanais krusts Viduslatvijas komiteja (degvielai un sacensībām)</t>
  </si>
  <si>
    <t>Komunālajiem pakalpojumiem</t>
  </si>
  <si>
    <t>Latvijas sieviešu invalīdu apvienība "Aspazija" - sakaru pakalpojumiem</t>
  </si>
  <si>
    <t>Biedrība "Baltā dūja"  (darbības nodrošināšanai)</t>
  </si>
  <si>
    <t>biedrība ''Nesēdi mājas''</t>
  </si>
  <si>
    <t>velokomanda</t>
  </si>
  <si>
    <t>biedrība Ogres stils</t>
  </si>
  <si>
    <t>ar slēpēm</t>
  </si>
  <si>
    <t>Ogres novada skolēnu dalība Latvijas jaunatnes ziemas festivālā</t>
  </si>
  <si>
    <t>Gundega Heidingere</t>
  </si>
  <si>
    <t>Rihards Bremze</t>
  </si>
  <si>
    <t>Nauris Neimanis</t>
  </si>
  <si>
    <t>Pēteris Preisis</t>
  </si>
  <si>
    <t>Aleksandrs Kaļinovs</t>
  </si>
  <si>
    <t xml:space="preserve">          Detalizēts sadalījums</t>
  </si>
  <si>
    <t>Pārējiem labiekārtošanas darbiem-neparedzētie</t>
  </si>
  <si>
    <t>Brīvības iela 18, Ogre (Zelta liepa) apdrošināšanas izmaksām</t>
  </si>
  <si>
    <t>06.4001 Plānotais budžets apgaismošanai</t>
  </si>
  <si>
    <t>Atkritumu izvešana no Ogres pilsētas teritorijām</t>
  </si>
  <si>
    <t>Pašvaldības līdzfinansējums asfaltēšanas darbiem dzīv.māju iekšpagalmos</t>
  </si>
  <si>
    <t>Ceļu, ielu, skvēru, tiltu remonts un uzturēšana</t>
  </si>
  <si>
    <t>Mālkalnes pr. 38 energoefektivitātes dokumentācijas izstrāde</t>
  </si>
  <si>
    <t>Brīvības ielas gājēju tuneļa pacēlāju apkalpošana</t>
  </si>
  <si>
    <t>Decentralizēto notekūdeņu uzskaites un kontroles nodrošināšana</t>
  </si>
  <si>
    <t>Ceļu, trotuāru un stāvlaukumu rekonstrukcijai</t>
  </si>
  <si>
    <t>Ogres kapsētas "Smiltāju kapi" teritorijas stāvlaukuma un pievedceļa uzturēšanai</t>
  </si>
  <si>
    <t>Brīvības ielas 37B, Ogre, nepieciešamību sabiedrības vajadzībām. (Bibliotēkas un VPII "Cīrulītis" filiāles uzturēšanai)</t>
  </si>
  <si>
    <t xml:space="preserve">05.2001  2020. gada budžetā notekūdeņu apsaimniekošanas  darbiem paredzēti līdzekļi no DR nod. </t>
  </si>
  <si>
    <t xml:space="preserve">05.4001   2020. gada budžetā bioloģiskās daudzveidības un ainavas aizsardzībai paredzēti līdzekļi no DR nod. </t>
  </si>
  <si>
    <t>Mēs zivīm - Zivju resursu atjaunošanai un aizsardzībai</t>
  </si>
  <si>
    <t>04.510010 Autotransports (ceļu būvniecībai un remontiem)</t>
  </si>
  <si>
    <t>05.1001   2020. gada budžetā novada atkritumu apsaimniekošanas darbiem paredzēti līdzekļi</t>
  </si>
  <si>
    <t>Mazv.inventāram, materiāliem</t>
  </si>
  <si>
    <t>Rekultivētās atkritumu izgāztuves apsaimniekošanai</t>
  </si>
  <si>
    <t>Ūdensanalīžu veikšanai</t>
  </si>
  <si>
    <t>Meliorācijas sistēmu, ceļa grāvju un caurteku  ikdienas uzturēšanai</t>
  </si>
  <si>
    <t>Digitālas latas Palienes iela 4, iekārtu apkopei un datu apziņošanas sistēmas uzturēšanai</t>
  </si>
  <si>
    <t>Meža kopšanai</t>
  </si>
  <si>
    <t>Pilsētas mežu vides stāvokļa kontrolei (inventarizācija un atmežojamā meža plāna sastādīšana)</t>
  </si>
  <si>
    <t>Latvāņu ierobežošanas pasākumiem</t>
  </si>
  <si>
    <t>Plaužu ezera krasta niedru pļaušanai krasta līnijā (divas dienas, roku darbs)</t>
  </si>
  <si>
    <t>Plaužu ezera ekspluatācijas plāna izveidošanai</t>
  </si>
  <si>
    <t>Lobes ezera ekspluatācijas plāna izveidošanai</t>
  </si>
  <si>
    <t>Sugām bagātas ganības un ganītas pļavas un eitrofas augsto lakstaugu audzes pļaušanai vienu reizi gadā ar zāles novākšanu</t>
  </si>
  <si>
    <t xml:space="preserve">Ielu un ceļu ikdienas uzturēšanai un  maģistrālo ielu ikdienas uzturēšanai   (no mērķdotācijas)                                  </t>
  </si>
  <si>
    <t>04.51016</t>
  </si>
  <si>
    <t>04.51017</t>
  </si>
  <si>
    <t>Projektu pieteikumu izstrāde, tehniskās dokumentācijas sagatavošana, ekspertīzes, auditi</t>
  </si>
  <si>
    <t>04.51018</t>
  </si>
  <si>
    <t>06.60026</t>
  </si>
  <si>
    <t>06.60027</t>
  </si>
  <si>
    <t>06.60028</t>
  </si>
  <si>
    <t>18.630</t>
  </si>
  <si>
    <t>18.620</t>
  </si>
  <si>
    <t>21.100</t>
  </si>
  <si>
    <t>Izglītības pārvalde</t>
  </si>
  <si>
    <t>05.30001</t>
  </si>
  <si>
    <t>Energoefektivitātes pasākumi</t>
  </si>
  <si>
    <t>04.51005</t>
  </si>
  <si>
    <t>04.51020</t>
  </si>
  <si>
    <t>04.51022</t>
  </si>
  <si>
    <t>04.51023</t>
  </si>
  <si>
    <t>04.51024</t>
  </si>
  <si>
    <t>04.51025</t>
  </si>
  <si>
    <t>Blaumaņa ielas Ogrē pārbūve</t>
  </si>
  <si>
    <t>Rožu ielas Ogrē pārbūve</t>
  </si>
  <si>
    <t>Egļu ielas Ogrē pārbūve</t>
  </si>
  <si>
    <t>Kadiķu ielas Ogrē pārbūve</t>
  </si>
  <si>
    <t>Lēdmanes ielas Ogrē pārbūve</t>
  </si>
  <si>
    <t>08.29023</t>
  </si>
  <si>
    <t>08.29024</t>
  </si>
  <si>
    <t>LAD projekts  "Rotaļu laukuma izveide Ogres novada Ķeipenes pagastā" Nr.20-04-AL02-A019.2202-000008.</t>
  </si>
  <si>
    <t>09.82047</t>
  </si>
  <si>
    <t>09.82048</t>
  </si>
  <si>
    <t>09.82049</t>
  </si>
  <si>
    <t>09.82050</t>
  </si>
  <si>
    <t>09.82051</t>
  </si>
  <si>
    <t>09.82052</t>
  </si>
  <si>
    <t>09.82053</t>
  </si>
  <si>
    <t>Erasmus programmas projekts Nr.2020-1-LV01-KA101-077352 Skolu mācību mobilitāte (ģimnāzija)</t>
  </si>
  <si>
    <t>Erasmus programmas projekts Nr.2020-1-IT02-KA229-079156 2, Skolas apmaiņas partnerība (Jaunogres vsk.)</t>
  </si>
  <si>
    <t>Pakalpojumi pašvaldības iestādēm</t>
  </si>
  <si>
    <t>Finansējums veselības veicināšanas pasākumiem</t>
  </si>
  <si>
    <t>Ogres bijušās sanatorijas ieejas vestibila atjaunošana</t>
  </si>
  <si>
    <t>"CATA" izdevumiem par apbraucamā ceļa izmantošana Skolas ielas Ogrē remonta laikā</t>
  </si>
  <si>
    <t>Līdzfinansējums dzīvojamo māju energoefektivitātes paaugstināšanai</t>
  </si>
  <si>
    <t>Materiāli, mazvērtīgais inventārs pilsētas talkai</t>
  </si>
  <si>
    <t>09.5107</t>
  </si>
  <si>
    <t>Mūzikas un mākslas skola</t>
  </si>
  <si>
    <t>Naudas balvas</t>
  </si>
  <si>
    <t>09.82055</t>
  </si>
  <si>
    <t>ES projekts Digitālo mācību un metodisko līdzekļu izstrāde Uzdevumi.lv modernizācijai Nr.8.3.1.2/19/A/005.(1.vsk.)</t>
  </si>
  <si>
    <t>Kompensācijas, kuras izmaksā personām, pamatojoties uz Latvijas tiesu nolēmumiem</t>
  </si>
  <si>
    <t>Biedrība "LUX VIRIDIA"</t>
  </si>
  <si>
    <t>09.21912</t>
  </si>
  <si>
    <t>Finans. bērniem, kuri apmeklē priv. izglīt.iest.</t>
  </si>
  <si>
    <t>Ēdināšanas izdevumi skolās</t>
  </si>
  <si>
    <t>09.600139</t>
  </si>
  <si>
    <t>09.82056</t>
  </si>
  <si>
    <t>06.60003 Plānotais budžets kapu saimniecībai.</t>
  </si>
  <si>
    <t>2021.g. budžets</t>
  </si>
  <si>
    <t xml:space="preserve">  </t>
  </si>
  <si>
    <t>Brīvības ielas 107, Ogre, nepieciešamību sabiedrības vajadzībām. (pirmsskolas izglītības iestādes būvniecībai)</t>
  </si>
  <si>
    <t>ekonomiskās klasifikācijas kodiem 2021. gadam</t>
  </si>
  <si>
    <t>2021.g. Plāns</t>
  </si>
  <si>
    <t>Nedarbojošo, bojāto ūgunsdzēsības hidrantu nomaiņa Ogres pilsētā</t>
  </si>
  <si>
    <t>Ogres novada pašvaldības deleģēto funkciju izpildes plāns 2021.gadā PA Ogres komunikācijas</t>
  </si>
  <si>
    <t>Plānots 2021.gadā</t>
  </si>
  <si>
    <t>Ogres novada pašvaldības deleģēto funkciju izpildes plāns 2021.gadā SIA Ogres namsaimnieks</t>
  </si>
  <si>
    <t>Par finasiālo atbalstu Ogres novada sporta klubiem 2021. gadam.</t>
  </si>
  <si>
    <t>Grāmatas "Notikumi Ogres novadā" izdošanai</t>
  </si>
  <si>
    <t>Filmas par sociālās uzņēmējdarbības veicināšanu un cilvēku ar īpašām vajadzībām integrāciju sabiedrībā</t>
  </si>
  <si>
    <t xml:space="preserve">Vidoe sižeti par infrastruktūras projektiem novadā, par pašvaldības un iedzīvotāju kopienu sadarbību  </t>
  </si>
  <si>
    <t xml:space="preserve">Naudas balvas Zelta un dimanta kāzu jubilāriem </t>
  </si>
  <si>
    <t>Dāvanas mātēm - represētajām personām (Mātes dienā)</t>
  </si>
  <si>
    <t xml:space="preserve">Pasākumu organizēšana Ogres Goda pilsoņiem, ar Valsts apbalvojumiem apbalvotajiem Ogres nov. iedzīvotājiem </t>
  </si>
  <si>
    <t>Stāvlaukumu uzturēšanai  Ogres pilsētā un Ogresgala pagastā   (2020. gada trīs līgumi)</t>
  </si>
  <si>
    <t>Svētku dekoru papildināšanai Ogresgala pag.</t>
  </si>
  <si>
    <t>Ielu, ceļu un gājēju celiņu datu izmaiņu aktualizācijai Ogrē un Ogresgalā 2021. gads</t>
  </si>
  <si>
    <t>Kapsētu informācijas digitalizācijai un datu pārvaldības sistēmas uzturēšanai</t>
  </si>
  <si>
    <t xml:space="preserve">Vides objekta bronzas skulptūras par godu Ogres pirmajam mēram izveidošanai, uzstādīšanai Ogres centrālās stacijas stāvlaukumā </t>
  </si>
  <si>
    <t>2021.g.</t>
  </si>
  <si>
    <t>Starptautiskā sporta meistara dambretē Aivara Remeša grāmatas par dambretes treneri R. Tomasu izdošanai atbalsts</t>
  </si>
  <si>
    <t>tāme pēc ekonomiskās klasifikācijas kodiem 2021. gadam</t>
  </si>
  <si>
    <t>dotācija</t>
  </si>
  <si>
    <t>Dalība LR čempionātos</t>
  </si>
  <si>
    <t>sporta klubu atbalsts</t>
  </si>
  <si>
    <t>biedrība BK Ogre</t>
  </si>
  <si>
    <t>biedrība OK Ogre</t>
  </si>
  <si>
    <t>biedrība ''HK Ogre''</t>
  </si>
  <si>
    <t>biedrība ''Ogres Vilki''</t>
  </si>
  <si>
    <t>Pasaules skolu čempionāts orientēsanās sportā</t>
  </si>
  <si>
    <t>orientēsanās</t>
  </si>
  <si>
    <t>Ogres novada izlašu dalība Latvijas Olimpiādē</t>
  </si>
  <si>
    <t>skrējēju komandai transports</t>
  </si>
  <si>
    <t>olimpiskā vienība</t>
  </si>
  <si>
    <t>Marta Sīviņa</t>
  </si>
  <si>
    <t>Elīza Lemberga</t>
  </si>
  <si>
    <t>Audris Vītoliņš</t>
  </si>
  <si>
    <t>Una Krasta</t>
  </si>
  <si>
    <t>Edgars Ustinovs</t>
  </si>
  <si>
    <t>Valters Reneslācis</t>
  </si>
  <si>
    <t xml:space="preserve">Divu publisku pieejamu ūdens dzeršanas sistēmu uzstādīšanai Ogres pilsētā </t>
  </si>
  <si>
    <t>Pašvaldības ielu apgaismojuma  iekārtu uzturēšanai un atbildīgais par iestāžu elektrosaimniecību</t>
  </si>
  <si>
    <t>Ogres pilsētas un Ogresgala pagasta ceļu remontiem paredzētie topogrāfiskie mērījumi</t>
  </si>
  <si>
    <t>Pludmales volejbola seguma ierīkošanai Hipodromā, Ogresgalā</t>
  </si>
  <si>
    <t>Informatīvs stends skolas ielas laukumā</t>
  </si>
  <si>
    <t>Ēkas demontāžai Upes pr.8a, Ogre</t>
  </si>
  <si>
    <t>08.1002  Kopsumma EUR 412 612</t>
  </si>
  <si>
    <t xml:space="preserve"> "Uzņēmējdarbības attīstība Ogres stacijas rajonā, pārbūvējot uzņēmējiem svarīgu ielas posmu un laukumu Ogrē'' 3.3.1.0/20/I/006( Skolas ielas pārbūve).</t>
  </si>
  <si>
    <t>Siltumnīcefekta gāzu emisiju samazināšana izbūvējot Ogres Centrālo bibliotēkas ēku</t>
  </si>
  <si>
    <t>Ogres pašvaldības ēkas Skolas ielā 12, Ogrē energoefektivitātes paaugstināšana izmantojot atjaunojamos energoresursus Projekta Nr. 4.2.2.0/20/I/009</t>
  </si>
  <si>
    <t>Greenways, Velo tūrisms</t>
  </si>
  <si>
    <t>LAD projekts  "Brīvdabas skatuves būvniecība un Meņģeles pagasta Tautas nama laukuma labiekārtošana" Nr.20-04-AL02-A019.2202-000007.</t>
  </si>
  <si>
    <t xml:space="preserve">8.1.2.SAM "Uzlabot vispārējās izglītības iestāžu mācību vidi Ogres novadā" </t>
  </si>
  <si>
    <t>ERAF "Pakalpojumu infrastruktūras attīstība deinstitualizācijas plānu īstenošanai" Nr. 9.3.1.1/19/I/017</t>
  </si>
  <si>
    <r>
      <t>Ogres novada pašvaldības</t>
    </r>
    <r>
      <rPr>
        <b/>
        <sz val="12"/>
        <rFont val="Arial"/>
        <family val="2"/>
      </rPr>
      <t xml:space="preserve"> Projektu</t>
    </r>
    <r>
      <rPr>
        <b/>
        <sz val="10"/>
        <rFont val="Arial"/>
        <family val="2"/>
      </rPr>
      <t xml:space="preserve"> ieņēmumu un izdevumu tāmes pēc </t>
    </r>
  </si>
  <si>
    <t>09.82057</t>
  </si>
  <si>
    <t>09.82058</t>
  </si>
  <si>
    <t>Karjeras atbalsts vispārējās un profesionālās izglītības iestādēs, 8.3.5.0/16/I/001</t>
  </si>
  <si>
    <t>Atbalsts priekšlaicīgas mācību pārtraukšanas samazināšanai, 8.3.4.0/16/I/001, PUMPURS</t>
  </si>
  <si>
    <t>Latvijas Skolas Soma</t>
  </si>
  <si>
    <t>Atbalsts izglītojamo idividuālo kompetenču attīstībai, 8.3.2.2/16/I/001</t>
  </si>
  <si>
    <t>Erasmus + programmas proj. "No vārdiem pie darbiem: mūsdienīgu lietpratību veicinoša skola" 2018-1-LV01-KA101-046809.</t>
  </si>
  <si>
    <t>Projekts "KOPĀ.LABĀK", "Starpnovadu un starpinstitūciju sadarbība jaunatnes politikas īstenošanai vietējā līmenī".</t>
  </si>
  <si>
    <t>Erasmus programmas projekts Nr.2020-1-PL01-KA229-081399 6,  Es izaicinu vecumu ar sparu (Ģimnāzija)</t>
  </si>
  <si>
    <t>Erasmus programmas projekts Nr.2020-1-TR01-KA229-093575 5, Atklāj patieso dzīvi (ģimnāzija)</t>
  </si>
  <si>
    <t>Erasmus programmas projekts Nr.2020-1-FR01-KA229-079905 2, Sagatavo mūs nākotnei (ģimnāzija)</t>
  </si>
  <si>
    <t>Erasmus programmas projekts Nr.2020-1-TR01-KA229-093837 4 (ģimnāzija)</t>
  </si>
  <si>
    <t>Erasmus programmas projekts Nr.2020-1-TR01-KA229-092959 4, Pusaudžu domasi, (sākumskola)</t>
  </si>
  <si>
    <t>Erasmus programmas projekts Nr.2020-1-DE03-KA229-077592 6, Eiropas ilgtspējīgas un pietiekamības skola, (1.VSK.)</t>
  </si>
  <si>
    <t>Samaksa par aprūpi mājās</t>
  </si>
  <si>
    <t>2021. g. Izmaksas (EUR)</t>
  </si>
  <si>
    <t>Grants piebraucamajam ceļam uz lauku trošu tiltu no Meņģeles puses</t>
  </si>
  <si>
    <t>ekonomiskās klasifikācijas kodiem 2021. gadam (EUR)</t>
  </si>
  <si>
    <t>04.51027</t>
  </si>
  <si>
    <t>04.51028</t>
  </si>
  <si>
    <t>04.51029</t>
  </si>
  <si>
    <t>04.51030</t>
  </si>
  <si>
    <t>04.51031</t>
  </si>
  <si>
    <t>04.51032</t>
  </si>
  <si>
    <t>04.51033</t>
  </si>
  <si>
    <t>04.51034</t>
  </si>
  <si>
    <t>04.51035</t>
  </si>
  <si>
    <t>04.51036</t>
  </si>
  <si>
    <t>04.51037</t>
  </si>
  <si>
    <t>04.51038</t>
  </si>
  <si>
    <t>04.51039</t>
  </si>
  <si>
    <t>06.60030</t>
  </si>
  <si>
    <t>05.30014</t>
  </si>
  <si>
    <t>Parka ielas pārbūve 1.KĀRTA</t>
  </si>
  <si>
    <t>Birzgales ielas pārbūve</t>
  </si>
  <si>
    <t>Iekārtā (gājēju) tilta pār Ogres upi teritorijā starp J.Čakstes pr. un Ogres ielu Ogrē būvniecība.</t>
  </si>
  <si>
    <t>Investīciju projekts “Gājēju un veloceliņa izbūve gar autoceļa V996 "Ogre – Viskāļi - Koknese" brauktuves malu posmā no Ogres līdz Ogresgalam”.</t>
  </si>
  <si>
    <t>Madlienas pag. autoceļa A1 posma no P32 līdz iebrauktuvei uz Madlienas vidusskolu pārbūve</t>
  </si>
  <si>
    <t>Poruka ielas Ogrē pārbūve</t>
  </si>
  <si>
    <t>Čakstes/Strēlnieku prospekta līdz Dārza ielai atjaunošana + būvuzraudzība</t>
  </si>
  <si>
    <t>Čakstes prospekta no Mazās Ķentes ielas līdz Skalbju ielai atjaunošana + būvuzraudzība</t>
  </si>
  <si>
    <t>Dārza ielas līdz autoceļam A6 atjaunošana + būvuzraudzība</t>
  </si>
  <si>
    <t>Lielvārdes ielas virsmas atjaunošana + būvuzraudzība</t>
  </si>
  <si>
    <t>Stirnu ielas virsmas atjaunošana + būvuzraudzība</t>
  </si>
  <si>
    <t>Miera ielas pārbūve + būvuzraudzība</t>
  </si>
  <si>
    <t>Bumbieru ielas, Ogresgalā pārbūve + būvuzraudzība</t>
  </si>
  <si>
    <t>Gājēju celiņa no Ogres trošu tilta līdz gājēju pārejai izbūve + būvprojekts + būvuzraudzība</t>
  </si>
  <si>
    <t>Autostāvlaukuma izbūve Mālkalnes prospektā 43, Ogre, Ogres novads</t>
  </si>
  <si>
    <t>Velo trase ar izciļņiem (Pump track)</t>
  </si>
  <si>
    <t>Ceriņu ielas pārbūve Ogrē</t>
  </si>
  <si>
    <t>Bākas uz mola projektēšana un būvniecība</t>
  </si>
  <si>
    <t>Veidojam vidi ap mums Ogres novadā</t>
  </si>
  <si>
    <t>Atbalsts NVO projektiem</t>
  </si>
  <si>
    <t>Sūkņu stacijas būvniecība (Ogres vārti), Ogrē, Rīgas iela 45 (projektēšana)</t>
  </si>
  <si>
    <t>Jauniešu mājas Ogrē pārbūve (Projektēšana)</t>
  </si>
  <si>
    <t>Sakrālā mantojuma konkurss</t>
  </si>
  <si>
    <t>R.A.D.I.- Ogres novadam</t>
  </si>
  <si>
    <t>Projekts "Jaunu pašvaldības pakalpojumu sniegšanas veidu attīstība"</t>
  </si>
  <si>
    <t>Ogresgala pagasta pirmsskolas izglītības iestādes “Ābelīte” energoefektivitātes pasākumi (atjaunošana)</t>
  </si>
  <si>
    <t>Konkurss vides piejamības nodroš.invalīdiem</t>
  </si>
  <si>
    <t>05.30013</t>
  </si>
  <si>
    <t>Topogrāfijas, projekta izstrāde aktīvās atpūtas zonas (skeitparka) iekārtošanai</t>
  </si>
  <si>
    <t>Ogres novada pašvaldības 2021.gada sporta komandu/klubu budžets. 08.1002</t>
  </si>
  <si>
    <t>Pielikums Pielikumam Nr.2</t>
  </si>
  <si>
    <t>Ceļu, trotuāru, stāvlaukumu un veloceliņu uzturēšanai un remontiem</t>
  </si>
  <si>
    <r>
      <t>06.60012</t>
    </r>
    <r>
      <rPr>
        <sz val="14"/>
        <color indexed="10"/>
        <rFont val="Arial"/>
        <family val="1"/>
        <charset val="186"/>
      </rPr>
      <t xml:space="preserve"> </t>
    </r>
    <r>
      <rPr>
        <sz val="14"/>
        <rFont val="Arial"/>
        <family val="1"/>
        <charset val="186"/>
      </rPr>
      <t xml:space="preserve">  2021. gada budžetā pašvaldības teritoriju labiekārtošanai paredzēti līdzekļi </t>
    </r>
  </si>
  <si>
    <t>2021.g. budžets (EUR)</t>
  </si>
  <si>
    <t>Siltumtrases Mālkalnes pr.10, Ogrē rekonstrukcija un nomaiņa uz rūpnieciski izolētiem siltumtīkliem</t>
  </si>
  <si>
    <t>Meža pr.3, Ogrē remonts</t>
  </si>
  <si>
    <t>Santa Stepulāne</t>
  </si>
  <si>
    <t>mākslas vingrošana</t>
  </si>
  <si>
    <t>Grāmatas par zemessardzi drukāšanai</t>
  </si>
  <si>
    <t>Dalībai SEB bankas organizētajā grantu programmā "(ie)dvesma"</t>
  </si>
  <si>
    <t xml:space="preserve">Dalībai ZM izsludinātajā vslsts atb. Zivju fonda " Zivju resursu aizsardzības pasākumā" </t>
  </si>
  <si>
    <t>Līdzfinansējums Mālkalnes pr. 31 un Grīvas pr. 25 Ogrē, daudzdzīvokļu mājām piesaistīto zemesgabalu labiekārtošanai</t>
  </si>
  <si>
    <t>Vides pieejamības nodrošināšana Ogres Valsts ģimnāzijā</t>
  </si>
  <si>
    <t>Pašvaldības ēkas fasādes un kabinetu (telpu grupu) atjaunošana Ziedu ielā 3, Ķeipenē</t>
  </si>
  <si>
    <t>06.3002</t>
  </si>
  <si>
    <t>Meža pr. posms piekļuves nodroš. skolas un sporta ēkai Meža pr. 17, Ogrē.</t>
  </si>
  <si>
    <t>Urbuma un ūdensapgādes sistēmas būvniecība Krapē daudzdzīvokļu mājai “Modernieki”</t>
  </si>
  <si>
    <t>04.51040</t>
  </si>
  <si>
    <t>09.82059</t>
  </si>
  <si>
    <t>09.82060</t>
  </si>
  <si>
    <t>Novada izglītības iestāžu mācību gada noslēguma pasākums</t>
  </si>
  <si>
    <t>04.11114</t>
  </si>
  <si>
    <t>SAM 5,6,2, Degradētās teritorijas Pārogres industriālajā parkā revitalizācija</t>
  </si>
  <si>
    <t>Ūdens dzeršanas vietu ierīkošana</t>
  </si>
  <si>
    <t>06.60031</t>
  </si>
  <si>
    <t>Projekts "Sugu un biotopu stāvokļa uzlabošanas pasākumi īpaši aizsargājamajā dabas teritorijā "Ogres ieleja""</t>
  </si>
  <si>
    <t>08.29025</t>
  </si>
  <si>
    <t>"Ogre-Eiropas kultūras galvaspilsēta 2027"</t>
  </si>
  <si>
    <t>06.60001 Plānotais budžets mājokļa apsaimniekošanai</t>
  </si>
  <si>
    <t>06.2001 Teritoriju attīstība (projektēšanai)</t>
  </si>
  <si>
    <t xml:space="preserve">dalības maksa, orgnizēšana, transports </t>
  </si>
  <si>
    <t>pavisam kopā EUR</t>
  </si>
  <si>
    <t>Reklāmas stabu iegādei un uzstādīšanai</t>
  </si>
  <si>
    <t>Ogresgala Tradīciju parka ozolu birzs sakopšanai, celmu likvidēšanai</t>
  </si>
  <si>
    <t>Ciemupes sporta laukuma un atpūtas zonas daļējai labiekārtošanai</t>
  </si>
  <si>
    <t>Peldvietas pie mazā dambja ierīkošanai</t>
  </si>
  <si>
    <t>Āra trenažieru uzstādīšanai Ogres centrālajā stadionā</t>
  </si>
  <si>
    <t>Komunāliem pakalpojumiem pašvaldības īpašumos (Gaismas prospekts Nr. 2/6 un Mālkalnes prospekts Nr. 10 u.c.)</t>
  </si>
  <si>
    <t>Ogres novada pašvaldības Teritorijas plānojuma 2012.-2024.g. grozījumu izstrādei</t>
  </si>
  <si>
    <t>Ogres novada pašvaldības Attīstības programmas (2021.-2027.g.) izstrādei</t>
  </si>
  <si>
    <t>Jauna PII būvniecība  (projektēšanai)</t>
  </si>
  <si>
    <t>Akmeņu ielas gājēju ceļa būvprojekta izstrādei</t>
  </si>
  <si>
    <t>Saules prospekts (projektēšanai)</t>
  </si>
  <si>
    <t>Gājēju ceļš no Uzvaras ielas līdz Pārogres stacijai (projektēšanai)</t>
  </si>
  <si>
    <t>Ielu, ceļu un gājēju celiņu datu izmaiņu aktualizācijai Ogrē un Ogresgalā. 2020.gada līgumi</t>
  </si>
  <si>
    <t>Nekustamā īpašuma atsavināšanai sabiedriskām vajadzībām - autotransporta tuneļa būvniecībai Upes prosp., 9, Ogrē</t>
  </si>
  <si>
    <t>Meliorācijas sistēmu periodiskai uzturēšanai</t>
  </si>
  <si>
    <t xml:space="preserve">Virsūdeņu novadei (LKT) no Caunes ielas pa Pavasara gatvi līdz Stūrīšu gatvei </t>
  </si>
  <si>
    <t>Piekalnes iela 4, artēziskā urbuma tamponēšanai</t>
  </si>
  <si>
    <t>Zemes visrmas frēzēšanai (kultūrtehiskie darbi Mākoņu iela, Ogres upes sēre)</t>
  </si>
  <si>
    <t>Bebru dambju jaukšanai, bebru ķeršanai un pārvietošanai dzelzceļa nodalījuma jolsā.</t>
  </si>
  <si>
    <t xml:space="preserve">Lobes ezera niedru pļaušanai un ūdensaugu tīrīšanai no ūdenstilpnes krasta  līnijā (3 darba dienas)   </t>
  </si>
  <si>
    <r>
      <t>Vecupes  krasta niedru pļaušanai krasta līnijā (viena darba diena, roku darbs)</t>
    </r>
    <r>
      <rPr>
        <b/>
        <sz val="12"/>
        <rFont val="Times New Roman"/>
        <family val="1"/>
        <charset val="186"/>
      </rPr>
      <t xml:space="preserve">                            </t>
    </r>
  </si>
  <si>
    <t xml:space="preserve">“Ūdensēzelīšu dienas Ogres novadā” četru dienu pasākumiem pie Vecupes, Lobes, Pečoru un Plaužu ezeriem     </t>
  </si>
  <si>
    <t xml:space="preserve">Informatīvās norādes izveidei pie Plaužu un Lobes ezera                              </t>
  </si>
  <si>
    <t xml:space="preserve">Lobes ezera interaktīvās istabas izveidei Lobes pag.                                                      </t>
  </si>
  <si>
    <t>Kompensācijai par zivju resursiem nodarītajiem zaudējumiem</t>
  </si>
  <si>
    <t xml:space="preserve">Vides objektam uz mola </t>
  </si>
  <si>
    <t>Reklāmas stendiem gājēju tunelī zem dzelzceļa Brīvības ielā, Ogrē</t>
  </si>
  <si>
    <t>Mālkalnes apļa apstādījumu rekonstrukcijai veidojot bagātīgu ziedu rakstu</t>
  </si>
  <si>
    <t>Biedrība OFK  - pasākumam OGRES FOTO DIENAS 2021</t>
  </si>
  <si>
    <t>Finansējums pašvaldības iestāžu un sabiedrisko organizāciju uzturēšanas izdevumu segšanai</t>
  </si>
  <si>
    <t>Rīgas ielas 15, Ogre, zemes un būves iegādei (Tautas nams, Muzikālā teātra izveidei)</t>
  </si>
  <si>
    <t>06.60032</t>
  </si>
  <si>
    <t>Investīciju projekts "Inženierbūves atjaunošana" Zvaigžņu iela 11</t>
  </si>
  <si>
    <t>Ivestīciju projekts "Esošās ēkas rekonstrukcija Taurupes muižas klēts pārbūve"</t>
  </si>
  <si>
    <t>08.29026</t>
  </si>
  <si>
    <t>09.82061</t>
  </si>
  <si>
    <t>Atbalsts bērnu un jauniešu nometņu organizēšanai Ogres novada pašvaldības iestādēs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</si>
</sst>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\ &quot;Ls&quot;;[Red]\-#,##0\ &quot;Ls&quot;"/>
    <numFmt numFmtId="165" formatCode="0.0"/>
  </numFmts>
  <fonts count="115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4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1"/>
      <color indexed="14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6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4"/>
      <color indexed="8"/>
      <name val="Times New Roman"/>
      <family val="1"/>
      <charset val="186"/>
    </font>
    <font>
      <i/>
      <sz val="12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indexed="40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2"/>
      <name val="Arial"/>
      <family val="2"/>
      <charset val="186"/>
    </font>
    <font>
      <b/>
      <sz val="11"/>
      <name val="Arial"/>
      <family val="2"/>
    </font>
    <font>
      <sz val="9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i/>
      <sz val="8"/>
      <color indexed="8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9"/>
      <color rgb="FF0070C0"/>
      <name val="Times New Roman"/>
      <family val="1"/>
      <charset val="186"/>
    </font>
    <font>
      <sz val="10"/>
      <color indexed="8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186"/>
    </font>
    <font>
      <sz val="14"/>
      <color indexed="8"/>
      <name val="Times New Roman"/>
      <family val="1"/>
      <charset val="186"/>
    </font>
    <font>
      <sz val="9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sz val="14"/>
      <color indexed="10"/>
      <name val="Arial"/>
      <family val="1"/>
      <charset val="186"/>
    </font>
    <font>
      <sz val="14"/>
      <name val="Arial"/>
      <family val="1"/>
      <charset val="186"/>
    </font>
    <font>
      <sz val="11"/>
      <color indexed="63"/>
      <name val="Times New Roman"/>
      <family val="1"/>
      <charset val="186"/>
    </font>
    <font>
      <b/>
      <sz val="8"/>
      <name val="Times New Roman"/>
      <family val="1"/>
      <charset val="186"/>
    </font>
    <font>
      <sz val="14"/>
      <name val="Arial"/>
      <family val="2"/>
      <charset val="186"/>
    </font>
    <font>
      <b/>
      <sz val="11"/>
      <name val="Times New Roman"/>
      <family val="1"/>
    </font>
    <font>
      <sz val="11"/>
      <name val="Arial"/>
      <family val="2"/>
      <charset val="186"/>
    </font>
    <font>
      <sz val="10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</font>
    <font>
      <sz val="10"/>
      <color rgb="FF0070C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i/>
      <sz val="9"/>
      <color rgb="FF0070C0"/>
      <name val="Times New Roman"/>
      <family val="1"/>
      <charset val="186"/>
    </font>
    <font>
      <b/>
      <sz val="9"/>
      <color rgb="FF0070C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1"/>
      <color rgb="FF0070C0"/>
      <name val="Times New Roman"/>
      <family val="1"/>
      <charset val="186"/>
    </font>
    <font>
      <sz val="12"/>
      <color rgb="FF0070C0"/>
      <name val="Times New Roman"/>
      <family val="1"/>
      <charset val="186"/>
    </font>
    <font>
      <b/>
      <sz val="12"/>
      <color rgb="FF0070C0"/>
      <name val="Times New Roman"/>
      <family val="1"/>
      <charset val="186"/>
    </font>
    <font>
      <sz val="11"/>
      <color rgb="FF0070C0"/>
      <name val="Times New Roman"/>
      <family val="1"/>
      <charset val="186"/>
    </font>
    <font>
      <sz val="10"/>
      <color indexed="12"/>
      <name val="Times New Roman"/>
      <family val="1"/>
      <charset val="186"/>
    </font>
    <font>
      <b/>
      <sz val="11"/>
      <color rgb="FF00B050"/>
      <name val="Times New Roman"/>
      <family val="1"/>
      <charset val="186"/>
    </font>
    <font>
      <b/>
      <sz val="11"/>
      <color indexed="30"/>
      <name val="Times New Roman"/>
      <family val="1"/>
      <charset val="186"/>
    </font>
    <font>
      <sz val="10"/>
      <color rgb="FF00B050"/>
      <name val="Times New Roman"/>
      <family val="1"/>
      <charset val="186"/>
    </font>
    <font>
      <b/>
      <sz val="12"/>
      <color indexed="30"/>
      <name val="Times New Roman"/>
      <family val="1"/>
      <charset val="186"/>
    </font>
    <font>
      <sz val="10"/>
      <color indexed="30"/>
      <name val="Times New Roman"/>
      <family val="1"/>
      <charset val="186"/>
    </font>
    <font>
      <sz val="11"/>
      <color indexed="30"/>
      <name val="Times New Roman"/>
      <family val="1"/>
      <charset val="186"/>
    </font>
    <font>
      <sz val="11"/>
      <color rgb="FF00B050"/>
      <name val="Times New Roman"/>
      <family val="1"/>
      <charset val="186"/>
    </font>
    <font>
      <sz val="12"/>
      <color rgb="FF00B050"/>
      <name val="Times New Roman"/>
      <family val="1"/>
      <charset val="186"/>
    </font>
    <font>
      <sz val="12"/>
      <color indexed="30"/>
      <name val="Times New Roman"/>
      <family val="1"/>
      <charset val="186"/>
    </font>
    <font>
      <sz val="11"/>
      <color indexed="17"/>
      <name val="Times New Roman"/>
      <family val="1"/>
      <charset val="186"/>
    </font>
    <font>
      <sz val="11"/>
      <color indexed="21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12"/>
      <color indexed="8"/>
      <name val="Times New Roman"/>
      <family val="1"/>
    </font>
    <font>
      <b/>
      <sz val="11"/>
      <color rgb="FFFF0000"/>
      <name val="Times New Roman"/>
      <family val="1"/>
      <charset val="186"/>
    </font>
    <font>
      <b/>
      <sz val="10"/>
      <color rgb="FF0070C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color theme="5" tint="-0.249977111117893"/>
      <name val="Times New Roman"/>
      <family val="1"/>
      <charset val="186"/>
    </font>
    <font>
      <sz val="11"/>
      <color theme="3" tint="-0.249977111117893"/>
      <name val="Times New Roman"/>
      <family val="1"/>
      <charset val="186"/>
    </font>
    <font>
      <sz val="11"/>
      <color theme="9" tint="-0.499984740745262"/>
      <name val="Times New Roman"/>
      <family val="1"/>
      <charset val="186"/>
    </font>
    <font>
      <sz val="11"/>
      <color theme="7"/>
      <name val="Times New Roman"/>
      <family val="1"/>
      <charset val="186"/>
    </font>
    <font>
      <sz val="11"/>
      <color theme="8" tint="-0.249977111117893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8"/>
      <name val="Times New Roman"/>
      <family val="1"/>
      <charset val="186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sz val="11"/>
      <name val="Arial"/>
      <family val="2"/>
      <charset val="186"/>
    </font>
    <font>
      <sz val="10"/>
      <color indexed="63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theme="3" tint="0.39997558519241921"/>
      <name val="Times New Roman"/>
      <family val="1"/>
      <charset val="186"/>
    </font>
    <font>
      <sz val="11"/>
      <color theme="3" tint="0.39997558519241921"/>
      <name val="Times New Roman"/>
      <family val="1"/>
      <charset val="186"/>
    </font>
    <font>
      <sz val="9"/>
      <name val="Arial"/>
      <family val="2"/>
      <charset val="186"/>
    </font>
    <font>
      <sz val="9"/>
      <color indexed="1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</borders>
  <cellStyleXfs count="7">
    <xf numFmtId="0" fontId="0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2" fillId="0" borderId="0"/>
    <xf numFmtId="43" fontId="59" fillId="0" borderId="0" applyFont="0" applyFill="0" applyBorder="0" applyAlignment="0" applyProtection="0"/>
  </cellStyleXfs>
  <cellXfs count="104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5" fillId="0" borderId="0" xfId="0" applyFont="1" applyBorder="1"/>
    <xf numFmtId="0" fontId="7" fillId="0" borderId="0" xfId="0" applyFont="1"/>
    <xf numFmtId="0" fontId="5" fillId="0" borderId="0" xfId="0" applyFont="1" applyFill="1"/>
    <xf numFmtId="0" fontId="6" fillId="0" borderId="0" xfId="0" applyFont="1" applyBorder="1"/>
    <xf numFmtId="0" fontId="5" fillId="0" borderId="0" xfId="0" applyFont="1" applyAlignment="1">
      <alignment wrapText="1"/>
    </xf>
    <xf numFmtId="0" fontId="5" fillId="0" borderId="0" xfId="0" applyFont="1" applyBorder="1" applyAlignment="1">
      <alignment wrapText="1"/>
    </xf>
    <xf numFmtId="0" fontId="7" fillId="0" borderId="0" xfId="0" applyFont="1" applyFill="1"/>
    <xf numFmtId="49" fontId="5" fillId="0" borderId="0" xfId="0" applyNumberFormat="1" applyFont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 applyAlignment="1">
      <alignment horizontal="left" wrapText="1"/>
    </xf>
    <xf numFmtId="3" fontId="6" fillId="0" borderId="0" xfId="0" applyNumberFormat="1" applyFont="1" applyFill="1" applyBorder="1"/>
    <xf numFmtId="0" fontId="10" fillId="0" borderId="0" xfId="0" applyFont="1"/>
    <xf numFmtId="0" fontId="10" fillId="0" borderId="1" xfId="0" applyFont="1" applyBorder="1"/>
    <xf numFmtId="0" fontId="5" fillId="0" borderId="1" xfId="0" applyFont="1" applyBorder="1"/>
    <xf numFmtId="3" fontId="6" fillId="0" borderId="2" xfId="0" applyNumberFormat="1" applyFont="1" applyFill="1" applyBorder="1"/>
    <xf numFmtId="0" fontId="12" fillId="0" borderId="3" xfId="0" applyFont="1" applyBorder="1"/>
    <xf numFmtId="3" fontId="5" fillId="0" borderId="5" xfId="0" applyNumberFormat="1" applyFont="1" applyFill="1" applyBorder="1"/>
    <xf numFmtId="3" fontId="10" fillId="0" borderId="6" xfId="0" applyNumberFormat="1" applyFont="1" applyFill="1" applyBorder="1"/>
    <xf numFmtId="3" fontId="10" fillId="0" borderId="5" xfId="0" applyNumberFormat="1" applyFont="1" applyFill="1" applyBorder="1"/>
    <xf numFmtId="0" fontId="10" fillId="0" borderId="7" xfId="0" applyFont="1" applyBorder="1" applyAlignment="1">
      <alignment horizontal="left" wrapText="1"/>
    </xf>
    <xf numFmtId="0" fontId="16" fillId="0" borderId="0" xfId="0" applyFont="1" applyAlignment="1">
      <alignment horizontal="center" wrapText="1"/>
    </xf>
    <xf numFmtId="0" fontId="16" fillId="0" borderId="0" xfId="0" applyFont="1"/>
    <xf numFmtId="0" fontId="4" fillId="0" borderId="8" xfId="0" applyFont="1" applyBorder="1" applyAlignment="1">
      <alignment wrapText="1"/>
    </xf>
    <xf numFmtId="0" fontId="4" fillId="0" borderId="3" xfId="0" applyFont="1" applyBorder="1" applyAlignment="1">
      <alignment horizontal="center" vertical="center"/>
    </xf>
    <xf numFmtId="0" fontId="16" fillId="0" borderId="0" xfId="0" applyFont="1" applyAlignment="1">
      <alignment wrapText="1"/>
    </xf>
    <xf numFmtId="0" fontId="10" fillId="0" borderId="7" xfId="0" applyFont="1" applyBorder="1" applyAlignment="1">
      <alignment wrapText="1"/>
    </xf>
    <xf numFmtId="0" fontId="16" fillId="0" borderId="0" xfId="0" applyFont="1" applyFill="1"/>
    <xf numFmtId="0" fontId="19" fillId="0" borderId="0" xfId="0" applyFont="1" applyFill="1"/>
    <xf numFmtId="0" fontId="10" fillId="0" borderId="10" xfId="0" applyFont="1" applyFill="1" applyBorder="1"/>
    <xf numFmtId="0" fontId="12" fillId="0" borderId="8" xfId="0" applyFont="1" applyBorder="1" applyAlignment="1">
      <alignment wrapText="1"/>
    </xf>
    <xf numFmtId="3" fontId="12" fillId="0" borderId="0" xfId="0" applyNumberFormat="1" applyFont="1" applyBorder="1"/>
    <xf numFmtId="0" fontId="12" fillId="0" borderId="0" xfId="0" applyFont="1" applyBorder="1"/>
    <xf numFmtId="3" fontId="4" fillId="0" borderId="13" xfId="0" applyNumberFormat="1" applyFont="1" applyBorder="1" applyAlignment="1">
      <alignment horizontal="center" wrapText="1"/>
    </xf>
    <xf numFmtId="0" fontId="10" fillId="0" borderId="14" xfId="0" applyFont="1" applyBorder="1"/>
    <xf numFmtId="3" fontId="16" fillId="0" borderId="0" xfId="0" applyNumberFormat="1" applyFont="1"/>
    <xf numFmtId="0" fontId="12" fillId="0" borderId="8" xfId="0" applyFont="1" applyFill="1" applyBorder="1" applyAlignment="1">
      <alignment wrapText="1"/>
    </xf>
    <xf numFmtId="3" fontId="12" fillId="0" borderId="18" xfId="0" applyNumberFormat="1" applyFont="1" applyBorder="1"/>
    <xf numFmtId="0" fontId="10" fillId="0" borderId="19" xfId="0" applyFont="1" applyBorder="1" applyAlignment="1">
      <alignment wrapText="1"/>
    </xf>
    <xf numFmtId="0" fontId="12" fillId="0" borderId="20" xfId="0" applyFont="1" applyFill="1" applyBorder="1" applyAlignment="1">
      <alignment wrapText="1"/>
    </xf>
    <xf numFmtId="0" fontId="12" fillId="0" borderId="0" xfId="3" applyFont="1"/>
    <xf numFmtId="0" fontId="5" fillId="0" borderId="7" xfId="0" applyFont="1" applyBorder="1" applyAlignment="1">
      <alignment horizontal="left" wrapText="1"/>
    </xf>
    <xf numFmtId="0" fontId="12" fillId="0" borderId="0" xfId="0" applyFont="1" applyBorder="1" applyAlignment="1">
      <alignment horizontal="right" wrapText="1"/>
    </xf>
    <xf numFmtId="0" fontId="12" fillId="0" borderId="1" xfId="0" applyFont="1" applyBorder="1" applyAlignment="1">
      <alignment horizontal="right" wrapText="1"/>
    </xf>
    <xf numFmtId="0" fontId="12" fillId="0" borderId="1" xfId="0" applyFont="1" applyBorder="1"/>
    <xf numFmtId="3" fontId="12" fillId="0" borderId="1" xfId="0" applyNumberFormat="1" applyFont="1" applyBorder="1"/>
    <xf numFmtId="0" fontId="10" fillId="0" borderId="8" xfId="0" applyFont="1" applyBorder="1" applyAlignment="1">
      <alignment wrapText="1"/>
    </xf>
    <xf numFmtId="0" fontId="10" fillId="0" borderId="3" xfId="0" applyFont="1" applyBorder="1"/>
    <xf numFmtId="3" fontId="10" fillId="0" borderId="18" xfId="0" applyNumberFormat="1" applyFont="1" applyFill="1" applyBorder="1" applyAlignment="1">
      <alignment horizontal="right"/>
    </xf>
    <xf numFmtId="0" fontId="20" fillId="0" borderId="0" xfId="0" applyFont="1" applyFill="1" applyAlignment="1">
      <alignment wrapText="1"/>
    </xf>
    <xf numFmtId="0" fontId="11" fillId="0" borderId="7" xfId="0" applyFont="1" applyBorder="1"/>
    <xf numFmtId="0" fontId="5" fillId="0" borderId="0" xfId="0" applyFont="1" applyFill="1" applyBorder="1"/>
    <xf numFmtId="0" fontId="6" fillId="0" borderId="29" xfId="0" applyFont="1" applyFill="1" applyBorder="1"/>
    <xf numFmtId="0" fontId="6" fillId="0" borderId="0" xfId="0" applyFont="1" applyBorder="1" applyAlignment="1">
      <alignment horizontal="right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8" xfId="0" applyFont="1" applyBorder="1"/>
    <xf numFmtId="0" fontId="4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6" fillId="0" borderId="12" xfId="0" applyFont="1" applyBorder="1" applyAlignment="1">
      <alignment horizontal="left"/>
    </xf>
    <xf numFmtId="0" fontId="5" fillId="0" borderId="32" xfId="0" applyFont="1" applyBorder="1"/>
    <xf numFmtId="1" fontId="6" fillId="0" borderId="33" xfId="0" applyNumberFormat="1" applyFont="1" applyBorder="1"/>
    <xf numFmtId="0" fontId="6" fillId="0" borderId="25" xfId="0" applyFont="1" applyFill="1" applyBorder="1"/>
    <xf numFmtId="0" fontId="6" fillId="0" borderId="4" xfId="0" applyFont="1" applyFill="1" applyBorder="1"/>
    <xf numFmtId="0" fontId="6" fillId="0" borderId="7" xfId="0" applyFont="1" applyBorder="1" applyAlignment="1">
      <alignment horizontal="left"/>
    </xf>
    <xf numFmtId="0" fontId="5" fillId="0" borderId="34" xfId="0" applyFont="1" applyBorder="1" applyAlignment="1">
      <alignment wrapText="1"/>
    </xf>
    <xf numFmtId="1" fontId="6" fillId="0" borderId="2" xfId="0" applyNumberFormat="1" applyFont="1" applyBorder="1"/>
    <xf numFmtId="1" fontId="6" fillId="0" borderId="10" xfId="0" applyNumberFormat="1" applyFont="1" applyFill="1" applyBorder="1"/>
    <xf numFmtId="1" fontId="6" fillId="0" borderId="1" xfId="0" applyNumberFormat="1" applyFont="1" applyFill="1" applyBorder="1"/>
    <xf numFmtId="1" fontId="6" fillId="0" borderId="5" xfId="0" applyNumberFormat="1" applyFont="1" applyFill="1" applyBorder="1"/>
    <xf numFmtId="1" fontId="24" fillId="0" borderId="0" xfId="0" applyNumberFormat="1" applyFont="1" applyBorder="1"/>
    <xf numFmtId="0" fontId="5" fillId="0" borderId="34" xfId="0" applyFont="1" applyBorder="1"/>
    <xf numFmtId="0" fontId="24" fillId="0" borderId="1" xfId="0" applyFont="1" applyFill="1" applyBorder="1"/>
    <xf numFmtId="0" fontId="24" fillId="0" borderId="5" xfId="0" applyFont="1" applyFill="1" applyBorder="1"/>
    <xf numFmtId="1" fontId="6" fillId="0" borderId="2" xfId="0" applyNumberFormat="1" applyFont="1" applyFill="1" applyBorder="1"/>
    <xf numFmtId="0" fontId="5" fillId="0" borderId="35" xfId="0" applyFont="1" applyBorder="1"/>
    <xf numFmtId="0" fontId="6" fillId="0" borderId="10" xfId="0" applyFont="1" applyFill="1" applyBorder="1"/>
    <xf numFmtId="0" fontId="6" fillId="0" borderId="1" xfId="0" applyFont="1" applyFill="1" applyBorder="1"/>
    <xf numFmtId="0" fontId="6" fillId="0" borderId="5" xfId="0" applyFont="1" applyFill="1" applyBorder="1"/>
    <xf numFmtId="1" fontId="24" fillId="0" borderId="10" xfId="0" applyNumberFormat="1" applyFont="1" applyFill="1" applyBorder="1"/>
    <xf numFmtId="1" fontId="24" fillId="0" borderId="6" xfId="0" applyNumberFormat="1" applyFont="1" applyFill="1" applyBorder="1"/>
    <xf numFmtId="0" fontId="24" fillId="0" borderId="10" xfId="0" applyFont="1" applyBorder="1"/>
    <xf numFmtId="0" fontId="24" fillId="0" borderId="1" xfId="0" applyFont="1" applyBorder="1"/>
    <xf numFmtId="0" fontId="24" fillId="0" borderId="5" xfId="0" applyFont="1" applyBorder="1"/>
    <xf numFmtId="0" fontId="5" fillId="0" borderId="34" xfId="0" applyFont="1" applyFill="1" applyBorder="1" applyAlignment="1">
      <alignment wrapText="1"/>
    </xf>
    <xf numFmtId="0" fontId="6" fillId="0" borderId="10" xfId="0" applyFont="1" applyBorder="1"/>
    <xf numFmtId="0" fontId="6" fillId="0" borderId="1" xfId="0" applyFont="1" applyBorder="1"/>
    <xf numFmtId="0" fontId="6" fillId="0" borderId="5" xfId="0" applyFont="1" applyBorder="1"/>
    <xf numFmtId="0" fontId="6" fillId="0" borderId="11" xfId="0" applyFont="1" applyBorder="1" applyAlignment="1">
      <alignment horizontal="left"/>
    </xf>
    <xf numFmtId="0" fontId="5" fillId="0" borderId="36" xfId="0" applyFont="1" applyBorder="1"/>
    <xf numFmtId="1" fontId="6" fillId="0" borderId="37" xfId="0" applyNumberFormat="1" applyFont="1" applyBorder="1"/>
    <xf numFmtId="0" fontId="24" fillId="0" borderId="38" xfId="0" applyFont="1" applyBorder="1"/>
    <xf numFmtId="0" fontId="24" fillId="0" borderId="22" xfId="0" applyFont="1" applyBorder="1"/>
    <xf numFmtId="1" fontId="24" fillId="0" borderId="22" xfId="0" applyNumberFormat="1" applyFont="1" applyBorder="1"/>
    <xf numFmtId="0" fontId="24" fillId="0" borderId="24" xfId="0" applyFont="1" applyBorder="1"/>
    <xf numFmtId="0" fontId="6" fillId="0" borderId="30" xfId="0" applyFont="1" applyBorder="1" applyAlignment="1">
      <alignment horizontal="right"/>
    </xf>
    <xf numFmtId="1" fontId="6" fillId="0" borderId="31" xfId="0" applyNumberFormat="1" applyFont="1" applyBorder="1"/>
    <xf numFmtId="1" fontId="6" fillId="0" borderId="18" xfId="0" applyNumberFormat="1" applyFont="1" applyBorder="1"/>
    <xf numFmtId="0" fontId="24" fillId="0" borderId="0" xfId="0" applyFont="1" applyBorder="1" applyAlignment="1">
      <alignment horizontal="right"/>
    </xf>
    <xf numFmtId="0" fontId="24" fillId="0" borderId="0" xfId="0" applyFont="1" applyBorder="1"/>
    <xf numFmtId="0" fontId="24" fillId="0" borderId="0" xfId="0" applyFont="1"/>
    <xf numFmtId="1" fontId="6" fillId="0" borderId="0" xfId="0" applyNumberFormat="1" applyFont="1" applyBorder="1"/>
    <xf numFmtId="0" fontId="6" fillId="0" borderId="0" xfId="0" applyFont="1" applyAlignment="1">
      <alignment horizontal="right"/>
    </xf>
    <xf numFmtId="49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Fill="1" applyAlignment="1">
      <alignment wrapText="1"/>
    </xf>
    <xf numFmtId="0" fontId="6" fillId="0" borderId="33" xfId="0" applyFont="1" applyBorder="1"/>
    <xf numFmtId="0" fontId="6" fillId="0" borderId="23" xfId="0" applyFont="1" applyBorder="1"/>
    <xf numFmtId="0" fontId="6" fillId="0" borderId="2" xfId="0" applyFont="1" applyBorder="1"/>
    <xf numFmtId="0" fontId="25" fillId="0" borderId="0" xfId="0" applyFont="1"/>
    <xf numFmtId="1" fontId="5" fillId="0" borderId="34" xfId="0" applyNumberFormat="1" applyFont="1" applyBorder="1"/>
    <xf numFmtId="0" fontId="6" fillId="0" borderId="37" xfId="0" applyFont="1" applyBorder="1"/>
    <xf numFmtId="0" fontId="6" fillId="0" borderId="22" xfId="0" applyFont="1" applyBorder="1"/>
    <xf numFmtId="0" fontId="6" fillId="0" borderId="24" xfId="0" applyFont="1" applyBorder="1"/>
    <xf numFmtId="0" fontId="6" fillId="0" borderId="31" xfId="0" applyFont="1" applyBorder="1"/>
    <xf numFmtId="0" fontId="7" fillId="0" borderId="0" xfId="0" applyFont="1" applyBorder="1"/>
    <xf numFmtId="0" fontId="5" fillId="0" borderId="39" xfId="0" applyFont="1" applyBorder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9" fontId="5" fillId="0" borderId="0" xfId="0" applyNumberFormat="1" applyFont="1" applyFill="1" applyAlignment="1">
      <alignment horizontal="center"/>
    </xf>
    <xf numFmtId="0" fontId="6" fillId="0" borderId="0" xfId="0" applyFont="1" applyAlignment="1">
      <alignment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40" xfId="0" applyFont="1" applyBorder="1"/>
    <xf numFmtId="0" fontId="4" fillId="0" borderId="41" xfId="0" applyFont="1" applyBorder="1" applyAlignment="1">
      <alignment horizontal="center"/>
    </xf>
    <xf numFmtId="0" fontId="6" fillId="0" borderId="43" xfId="0" applyFont="1" applyBorder="1" applyAlignment="1">
      <alignment horizontal="left"/>
    </xf>
    <xf numFmtId="0" fontId="6" fillId="0" borderId="44" xfId="0" applyFont="1" applyBorder="1" applyAlignment="1">
      <alignment horizontal="left"/>
    </xf>
    <xf numFmtId="0" fontId="5" fillId="0" borderId="43" xfId="0" applyFont="1" applyBorder="1"/>
    <xf numFmtId="0" fontId="6" fillId="0" borderId="45" xfId="0" applyFont="1" applyFill="1" applyBorder="1"/>
    <xf numFmtId="0" fontId="6" fillId="0" borderId="46" xfId="0" applyFont="1" applyBorder="1"/>
    <xf numFmtId="0" fontId="6" fillId="0" borderId="45" xfId="0" applyFont="1" applyBorder="1"/>
    <xf numFmtId="0" fontId="6" fillId="0" borderId="35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5" fillId="0" borderId="35" xfId="0" applyFont="1" applyBorder="1" applyAlignment="1">
      <alignment wrapText="1"/>
    </xf>
    <xf numFmtId="1" fontId="6" fillId="0" borderId="6" xfId="0" applyNumberFormat="1" applyFont="1" applyBorder="1"/>
    <xf numFmtId="0" fontId="6" fillId="0" borderId="2" xfId="0" applyFont="1" applyFill="1" applyBorder="1"/>
    <xf numFmtId="0" fontId="6" fillId="0" borderId="48" xfId="0" applyFont="1" applyBorder="1"/>
    <xf numFmtId="0" fontId="6" fillId="0" borderId="9" xfId="0" applyFont="1" applyBorder="1"/>
    <xf numFmtId="0" fontId="24" fillId="0" borderId="6" xfId="0" applyFont="1" applyBorder="1"/>
    <xf numFmtId="0" fontId="24" fillId="0" borderId="2" xfId="0" applyFont="1" applyBorder="1"/>
    <xf numFmtId="0" fontId="6" fillId="0" borderId="34" xfId="0" applyFont="1" applyBorder="1" applyAlignment="1">
      <alignment horizontal="left"/>
    </xf>
    <xf numFmtId="0" fontId="6" fillId="0" borderId="6" xfId="0" applyFont="1" applyBorder="1"/>
    <xf numFmtId="0" fontId="6" fillId="0" borderId="6" xfId="0" applyFont="1" applyFill="1" applyBorder="1"/>
    <xf numFmtId="0" fontId="24" fillId="0" borderId="9" xfId="0" applyFont="1" applyBorder="1"/>
    <xf numFmtId="0" fontId="5" fillId="0" borderId="50" xfId="0" applyFont="1" applyBorder="1"/>
    <xf numFmtId="0" fontId="5" fillId="0" borderId="51" xfId="0" applyFont="1" applyBorder="1"/>
    <xf numFmtId="0" fontId="6" fillId="0" borderId="52" xfId="0" applyFont="1" applyBorder="1" applyAlignment="1">
      <alignment horizontal="right"/>
    </xf>
    <xf numFmtId="1" fontId="12" fillId="0" borderId="31" xfId="0" applyNumberFormat="1" applyFont="1" applyBorder="1"/>
    <xf numFmtId="1" fontId="12" fillId="0" borderId="31" xfId="0" applyNumberFormat="1" applyFont="1" applyFill="1" applyBorder="1"/>
    <xf numFmtId="0" fontId="6" fillId="0" borderId="0" xfId="0" applyFont="1" applyFill="1" applyBorder="1"/>
    <xf numFmtId="0" fontId="6" fillId="0" borderId="0" xfId="0" applyFont="1" applyBorder="1" applyAlignment="1">
      <alignment horizontal="right"/>
    </xf>
    <xf numFmtId="0" fontId="4" fillId="0" borderId="53" xfId="0" applyFont="1" applyBorder="1" applyAlignment="1">
      <alignment horizontal="center"/>
    </xf>
    <xf numFmtId="0" fontId="5" fillId="0" borderId="31" xfId="0" applyFont="1" applyFill="1" applyBorder="1" applyAlignment="1">
      <alignment horizontal="center" wrapText="1"/>
    </xf>
    <xf numFmtId="0" fontId="6" fillId="0" borderId="54" xfId="0" applyFont="1" applyBorder="1" applyAlignment="1">
      <alignment horizontal="left"/>
    </xf>
    <xf numFmtId="0" fontId="5" fillId="0" borderId="55" xfId="0" applyFont="1" applyBorder="1"/>
    <xf numFmtId="0" fontId="6" fillId="0" borderId="1" xfId="0" applyFont="1" applyBorder="1" applyAlignment="1">
      <alignment horizontal="left"/>
    </xf>
    <xf numFmtId="0" fontId="5" fillId="0" borderId="1" xfId="0" applyFont="1" applyFill="1" applyBorder="1" applyAlignment="1">
      <alignment wrapText="1"/>
    </xf>
    <xf numFmtId="0" fontId="5" fillId="0" borderId="3" xfId="0" applyFont="1" applyBorder="1"/>
    <xf numFmtId="165" fontId="6" fillId="0" borderId="0" xfId="0" applyNumberFormat="1" applyFont="1" applyBorder="1"/>
    <xf numFmtId="49" fontId="6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/>
    </xf>
    <xf numFmtId="0" fontId="6" fillId="0" borderId="56" xfId="0" applyFont="1" applyBorder="1" applyAlignment="1">
      <alignment horizontal="left"/>
    </xf>
    <xf numFmtId="0" fontId="6" fillId="0" borderId="57" xfId="0" applyFont="1" applyBorder="1"/>
    <xf numFmtId="0" fontId="6" fillId="0" borderId="42" xfId="0" applyFont="1" applyFill="1" applyBorder="1"/>
    <xf numFmtId="1" fontId="6" fillId="0" borderId="9" xfId="0" applyNumberFormat="1" applyFont="1" applyBorder="1"/>
    <xf numFmtId="0" fontId="6" fillId="0" borderId="9" xfId="0" applyFont="1" applyFill="1" applyBorder="1"/>
    <xf numFmtId="0" fontId="6" fillId="0" borderId="37" xfId="0" applyFont="1" applyFill="1" applyBorder="1"/>
    <xf numFmtId="0" fontId="6" fillId="0" borderId="28" xfId="0" applyFont="1" applyFill="1" applyBorder="1"/>
    <xf numFmtId="0" fontId="5" fillId="0" borderId="16" xfId="0" applyFont="1" applyBorder="1"/>
    <xf numFmtId="0" fontId="6" fillId="0" borderId="49" xfId="0" applyFont="1" applyBorder="1"/>
    <xf numFmtId="0" fontId="6" fillId="0" borderId="49" xfId="0" applyFont="1" applyFill="1" applyBorder="1"/>
    <xf numFmtId="1" fontId="6" fillId="0" borderId="0" xfId="0" applyNumberFormat="1" applyFont="1"/>
    <xf numFmtId="0" fontId="5" fillId="0" borderId="0" xfId="0" applyFont="1" applyAlignment="1">
      <alignment horizontal="right" wrapText="1"/>
    </xf>
    <xf numFmtId="0" fontId="5" fillId="0" borderId="55" xfId="0" applyFont="1" applyBorder="1" applyAlignment="1">
      <alignment wrapText="1"/>
    </xf>
    <xf numFmtId="0" fontId="24" fillId="0" borderId="58" xfId="0" applyFont="1" applyBorder="1"/>
    <xf numFmtId="0" fontId="6" fillId="0" borderId="59" xfId="0" applyFont="1" applyBorder="1"/>
    <xf numFmtId="1" fontId="24" fillId="0" borderId="2" xfId="0" applyNumberFormat="1" applyFont="1" applyBorder="1"/>
    <xf numFmtId="0" fontId="24" fillId="0" borderId="37" xfId="0" applyFont="1" applyBorder="1"/>
    <xf numFmtId="0" fontId="6" fillId="0" borderId="30" xfId="0" applyFont="1" applyBorder="1" applyAlignment="1">
      <alignment horizontal="right" wrapText="1"/>
    </xf>
    <xf numFmtId="0" fontId="6" fillId="0" borderId="0" xfId="0" applyFont="1" applyAlignment="1"/>
    <xf numFmtId="0" fontId="5" fillId="0" borderId="60" xfId="0" applyFont="1" applyBorder="1"/>
    <xf numFmtId="0" fontId="5" fillId="0" borderId="20" xfId="0" applyFont="1" applyBorder="1" applyAlignment="1">
      <alignment horizontal="center" wrapText="1"/>
    </xf>
    <xf numFmtId="0" fontId="6" fillId="0" borderId="61" xfId="0" applyFont="1" applyBorder="1"/>
    <xf numFmtId="0" fontId="27" fillId="0" borderId="2" xfId="0" applyFont="1" applyBorder="1"/>
    <xf numFmtId="0" fontId="5" fillId="0" borderId="9" xfId="0" applyFont="1" applyBorder="1"/>
    <xf numFmtId="0" fontId="5" fillId="0" borderId="2" xfId="0" applyFont="1" applyBorder="1"/>
    <xf numFmtId="0" fontId="6" fillId="0" borderId="62" xfId="0" applyFont="1" applyBorder="1"/>
    <xf numFmtId="0" fontId="6" fillId="0" borderId="63" xfId="0" applyFont="1" applyBorder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/>
    <xf numFmtId="3" fontId="26" fillId="0" borderId="0" xfId="0" applyNumberFormat="1" applyFont="1"/>
    <xf numFmtId="0" fontId="5" fillId="0" borderId="0" xfId="0" applyFont="1" applyFill="1" applyBorder="1" applyAlignment="1">
      <alignment wrapText="1"/>
    </xf>
    <xf numFmtId="0" fontId="5" fillId="0" borderId="64" xfId="0" applyFont="1" applyBorder="1"/>
    <xf numFmtId="0" fontId="4" fillId="0" borderId="30" xfId="0" applyFont="1" applyBorder="1" applyAlignment="1">
      <alignment horizontal="center" wrapText="1"/>
    </xf>
    <xf numFmtId="0" fontId="6" fillId="0" borderId="65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1" fontId="6" fillId="0" borderId="6" xfId="0" applyNumberFormat="1" applyFont="1" applyFill="1" applyBorder="1"/>
    <xf numFmtId="0" fontId="6" fillId="0" borderId="38" xfId="0" applyFont="1" applyBorder="1" applyAlignment="1">
      <alignment horizontal="left"/>
    </xf>
    <xf numFmtId="0" fontId="6" fillId="0" borderId="66" xfId="0" applyFont="1" applyBorder="1" applyAlignment="1">
      <alignment horizontal="left"/>
    </xf>
    <xf numFmtId="0" fontId="6" fillId="0" borderId="6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5" fillId="0" borderId="68" xfId="0" applyFont="1" applyFill="1" applyBorder="1" applyAlignment="1">
      <alignment wrapText="1"/>
    </xf>
    <xf numFmtId="0" fontId="5" fillId="0" borderId="69" xfId="0" applyFont="1" applyBorder="1"/>
    <xf numFmtId="0" fontId="5" fillId="0" borderId="17" xfId="0" applyFont="1" applyBorder="1"/>
    <xf numFmtId="0" fontId="6" fillId="0" borderId="21" xfId="0" applyFont="1" applyBorder="1"/>
    <xf numFmtId="0" fontId="6" fillId="0" borderId="58" xfId="0" applyFont="1" applyBorder="1"/>
    <xf numFmtId="0" fontId="5" fillId="0" borderId="58" xfId="0" applyFont="1" applyBorder="1"/>
    <xf numFmtId="0" fontId="5" fillId="0" borderId="70" xfId="0" applyFont="1" applyBorder="1"/>
    <xf numFmtId="1" fontId="6" fillId="0" borderId="31" xfId="0" applyNumberFormat="1" applyFont="1" applyFill="1" applyBorder="1"/>
    <xf numFmtId="0" fontId="7" fillId="0" borderId="0" xfId="0" applyFont="1" applyAlignment="1">
      <alignment wrapText="1"/>
    </xf>
    <xf numFmtId="0" fontId="5" fillId="0" borderId="0" xfId="0" applyFont="1" applyAlignment="1"/>
    <xf numFmtId="0" fontId="6" fillId="0" borderId="0" xfId="0" applyFont="1" applyAlignment="1">
      <alignment horizontal="center" wrapText="1"/>
    </xf>
    <xf numFmtId="164" fontId="7" fillId="0" borderId="0" xfId="0" applyNumberFormat="1" applyFont="1" applyFill="1"/>
    <xf numFmtId="164" fontId="5" fillId="0" borderId="0" xfId="0" applyNumberFormat="1" applyFont="1"/>
    <xf numFmtId="164" fontId="5" fillId="0" borderId="0" xfId="0" applyNumberFormat="1" applyFont="1" applyFill="1"/>
    <xf numFmtId="164" fontId="6" fillId="0" borderId="0" xfId="0" applyNumberFormat="1" applyFont="1"/>
    <xf numFmtId="164" fontId="6" fillId="0" borderId="0" xfId="0" applyNumberFormat="1" applyFont="1" applyFill="1"/>
    <xf numFmtId="0" fontId="5" fillId="0" borderId="71" xfId="0" applyFont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6" fillId="0" borderId="75" xfId="0" applyFont="1" applyBorder="1" applyAlignment="1">
      <alignment horizontal="left"/>
    </xf>
    <xf numFmtId="0" fontId="5" fillId="0" borderId="1" xfId="0" applyFont="1" applyFill="1" applyBorder="1"/>
    <xf numFmtId="1" fontId="5" fillId="0" borderId="0" xfId="0" applyNumberFormat="1" applyFont="1"/>
    <xf numFmtId="0" fontId="5" fillId="0" borderId="10" xfId="0" applyFont="1" applyFill="1" applyBorder="1"/>
    <xf numFmtId="0" fontId="5" fillId="0" borderId="5" xfId="0" applyFont="1" applyBorder="1"/>
    <xf numFmtId="0" fontId="5" fillId="0" borderId="7" xfId="0" applyFont="1" applyBorder="1" applyAlignment="1">
      <alignment wrapText="1"/>
    </xf>
    <xf numFmtId="1" fontId="6" fillId="0" borderId="9" xfId="0" applyNumberFormat="1" applyFont="1" applyFill="1" applyBorder="1"/>
    <xf numFmtId="0" fontId="10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0" fontId="5" fillId="0" borderId="22" xfId="0" applyFont="1" applyFill="1" applyBorder="1"/>
    <xf numFmtId="0" fontId="6" fillId="0" borderId="8" xfId="0" applyFont="1" applyBorder="1"/>
    <xf numFmtId="0" fontId="6" fillId="0" borderId="3" xfId="0" applyFont="1" applyBorder="1"/>
    <xf numFmtId="3" fontId="6" fillId="0" borderId="13" xfId="0" applyNumberFormat="1" applyFont="1" applyBorder="1"/>
    <xf numFmtId="0" fontId="22" fillId="0" borderId="0" xfId="0" applyFont="1"/>
    <xf numFmtId="0" fontId="30" fillId="0" borderId="0" xfId="0" applyFont="1" applyAlignment="1">
      <alignment horizontal="center"/>
    </xf>
    <xf numFmtId="3" fontId="10" fillId="0" borderId="9" xfId="0" applyNumberFormat="1" applyFont="1" applyFill="1" applyBorder="1"/>
    <xf numFmtId="0" fontId="30" fillId="0" borderId="0" xfId="0" applyFont="1"/>
    <xf numFmtId="0" fontId="11" fillId="0" borderId="0" xfId="0" applyFont="1"/>
    <xf numFmtId="0" fontId="31" fillId="0" borderId="0" xfId="0" applyFont="1" applyFill="1"/>
    <xf numFmtId="0" fontId="31" fillId="0" borderId="0" xfId="0" applyFont="1"/>
    <xf numFmtId="0" fontId="11" fillId="0" borderId="0" xfId="0" applyFont="1" applyAlignment="1">
      <alignment wrapText="1"/>
    </xf>
    <xf numFmtId="3" fontId="14" fillId="0" borderId="0" xfId="0" applyNumberFormat="1" applyFont="1" applyFill="1"/>
    <xf numFmtId="0" fontId="14" fillId="0" borderId="0" xfId="0" applyFont="1" applyFill="1"/>
    <xf numFmtId="0" fontId="32" fillId="0" borderId="0" xfId="0" applyFont="1" applyFill="1"/>
    <xf numFmtId="0" fontId="32" fillId="0" borderId="0" xfId="0" applyFont="1"/>
    <xf numFmtId="0" fontId="33" fillId="0" borderId="0" xfId="0" applyFont="1" applyFill="1"/>
    <xf numFmtId="0" fontId="33" fillId="0" borderId="0" xfId="0" applyFont="1"/>
    <xf numFmtId="0" fontId="14" fillId="0" borderId="0" xfId="0" applyFont="1" applyBorder="1"/>
    <xf numFmtId="0" fontId="14" fillId="0" borderId="0" xfId="0" applyFont="1" applyBorder="1" applyAlignment="1">
      <alignment wrapText="1"/>
    </xf>
    <xf numFmtId="3" fontId="14" fillId="0" borderId="0" xfId="0" applyNumberFormat="1" applyFont="1" applyFill="1" applyBorder="1"/>
    <xf numFmtId="0" fontId="11" fillId="0" borderId="0" xfId="0" applyFont="1" applyFill="1"/>
    <xf numFmtId="0" fontId="31" fillId="0" borderId="0" xfId="0" applyFont="1" applyAlignment="1">
      <alignment wrapText="1"/>
    </xf>
    <xf numFmtId="3" fontId="10" fillId="0" borderId="5" xfId="4" applyNumberFormat="1" applyFont="1" applyFill="1" applyBorder="1"/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Fill="1" applyBorder="1"/>
    <xf numFmtId="0" fontId="5" fillId="0" borderId="7" xfId="0" applyFont="1" applyBorder="1"/>
    <xf numFmtId="0" fontId="29" fillId="0" borderId="0" xfId="0" applyFont="1" applyBorder="1" applyAlignment="1">
      <alignment horizontal="right" wrapText="1"/>
    </xf>
    <xf numFmtId="0" fontId="12" fillId="0" borderId="0" xfId="3" applyFont="1" applyAlignment="1"/>
    <xf numFmtId="0" fontId="13" fillId="0" borderId="0" xfId="3" applyFont="1" applyAlignment="1"/>
    <xf numFmtId="0" fontId="11" fillId="0" borderId="0" xfId="3" applyFont="1" applyFill="1"/>
    <xf numFmtId="3" fontId="5" fillId="0" borderId="0" xfId="0" applyNumberFormat="1" applyFont="1" applyFill="1"/>
    <xf numFmtId="3" fontId="6" fillId="0" borderId="0" xfId="0" applyNumberFormat="1" applyFont="1" applyFill="1"/>
    <xf numFmtId="0" fontId="5" fillId="0" borderId="0" xfId="0" applyFont="1" applyFill="1" applyBorder="1" applyAlignment="1">
      <alignment horizontal="center" wrapText="1"/>
    </xf>
    <xf numFmtId="0" fontId="34" fillId="0" borderId="0" xfId="0" applyFont="1"/>
    <xf numFmtId="3" fontId="35" fillId="0" borderId="0" xfId="0" applyNumberFormat="1" applyFont="1" applyFill="1" applyBorder="1"/>
    <xf numFmtId="1" fontId="6" fillId="0" borderId="18" xfId="0" applyNumberFormat="1" applyFont="1" applyFill="1" applyBorder="1"/>
    <xf numFmtId="0" fontId="5" fillId="0" borderId="26" xfId="0" applyFont="1" applyFill="1" applyBorder="1" applyAlignment="1">
      <alignment horizontal="left" wrapText="1"/>
    </xf>
    <xf numFmtId="0" fontId="6" fillId="0" borderId="83" xfId="0" applyFont="1" applyBorder="1" applyAlignment="1">
      <alignment horizontal="left"/>
    </xf>
    <xf numFmtId="0" fontId="36" fillId="0" borderId="0" xfId="0" applyFont="1"/>
    <xf numFmtId="0" fontId="36" fillId="0" borderId="0" xfId="0" applyFont="1" applyFill="1"/>
    <xf numFmtId="0" fontId="10" fillId="0" borderId="4" xfId="0" applyFont="1" applyFill="1" applyBorder="1"/>
    <xf numFmtId="0" fontId="5" fillId="0" borderId="84" xfId="0" applyFont="1" applyBorder="1" applyAlignment="1">
      <alignment horizontal="center" wrapText="1"/>
    </xf>
    <xf numFmtId="0" fontId="5" fillId="0" borderId="85" xfId="0" applyFont="1" applyBorder="1"/>
    <xf numFmtId="0" fontId="4" fillId="0" borderId="86" xfId="0" applyFont="1" applyBorder="1" applyAlignment="1">
      <alignment horizontal="center" wrapText="1"/>
    </xf>
    <xf numFmtId="3" fontId="6" fillId="2" borderId="2" xfId="0" applyNumberFormat="1" applyFont="1" applyFill="1" applyBorder="1"/>
    <xf numFmtId="0" fontId="4" fillId="0" borderId="27" xfId="0" applyFont="1" applyFill="1" applyBorder="1" applyAlignment="1">
      <alignment horizontal="center" wrapText="1"/>
    </xf>
    <xf numFmtId="0" fontId="4" fillId="0" borderId="92" xfId="0" applyFont="1" applyFill="1" applyBorder="1" applyAlignment="1">
      <alignment horizontal="center" wrapText="1"/>
    </xf>
    <xf numFmtId="0" fontId="43" fillId="0" borderId="93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wrapText="1"/>
    </xf>
    <xf numFmtId="3" fontId="10" fillId="0" borderId="23" xfId="0" applyNumberFormat="1" applyFont="1" applyFill="1" applyBorder="1"/>
    <xf numFmtId="0" fontId="11" fillId="0" borderId="1" xfId="0" applyFont="1" applyBorder="1" applyAlignment="1">
      <alignment wrapText="1"/>
    </xf>
    <xf numFmtId="0" fontId="10" fillId="0" borderId="4" xfId="0" applyFont="1" applyFill="1" applyBorder="1" applyAlignment="1">
      <alignment wrapText="1"/>
    </xf>
    <xf numFmtId="3" fontId="11" fillId="0" borderId="5" xfId="0" applyNumberFormat="1" applyFont="1" applyFill="1" applyBorder="1"/>
    <xf numFmtId="0" fontId="11" fillId="0" borderId="1" xfId="0" applyFont="1" applyFill="1" applyBorder="1" applyAlignment="1">
      <alignment wrapText="1"/>
    </xf>
    <xf numFmtId="3" fontId="34" fillId="0" borderId="0" xfId="0" applyNumberFormat="1" applyFont="1"/>
    <xf numFmtId="3" fontId="43" fillId="0" borderId="93" xfId="0" applyNumberFormat="1" applyFont="1" applyFill="1" applyBorder="1" applyAlignment="1">
      <alignment horizontal="center" wrapText="1"/>
    </xf>
    <xf numFmtId="0" fontId="10" fillId="0" borderId="12" xfId="0" applyFont="1" applyFill="1" applyBorder="1" applyAlignment="1">
      <alignment wrapText="1"/>
    </xf>
    <xf numFmtId="3" fontId="10" fillId="0" borderId="6" xfId="0" applyNumberFormat="1" applyFont="1" applyBorder="1"/>
    <xf numFmtId="3" fontId="31" fillId="0" borderId="0" xfId="0" applyNumberFormat="1" applyFont="1"/>
    <xf numFmtId="0" fontId="42" fillId="0" borderId="2" xfId="0" applyFont="1" applyFill="1" applyBorder="1"/>
    <xf numFmtId="3" fontId="6" fillId="2" borderId="6" xfId="0" applyNumberFormat="1" applyFont="1" applyFill="1" applyBorder="1"/>
    <xf numFmtId="0" fontId="5" fillId="0" borderId="21" xfId="0" applyFont="1" applyBorder="1"/>
    <xf numFmtId="3" fontId="6" fillId="0" borderId="6" xfId="0" applyNumberFormat="1" applyFont="1" applyFill="1" applyBorder="1"/>
    <xf numFmtId="0" fontId="5" fillId="0" borderId="0" xfId="0" applyFont="1" applyBorder="1" applyAlignment="1">
      <alignment horizontal="right" wrapText="1"/>
    </xf>
    <xf numFmtId="0" fontId="5" fillId="0" borderId="1" xfId="0" applyFont="1" applyBorder="1" applyAlignment="1">
      <alignment wrapText="1"/>
    </xf>
    <xf numFmtId="3" fontId="5" fillId="4" borderId="1" xfId="2" applyNumberFormat="1" applyFont="1" applyFill="1" applyBorder="1"/>
    <xf numFmtId="3" fontId="5" fillId="0" borderId="23" xfId="0" applyNumberFormat="1" applyFont="1" applyFill="1" applyBorder="1" applyAlignment="1"/>
    <xf numFmtId="0" fontId="46" fillId="0" borderId="0" xfId="0" applyFont="1"/>
    <xf numFmtId="0" fontId="47" fillId="0" borderId="0" xfId="0" applyFont="1"/>
    <xf numFmtId="0" fontId="44" fillId="0" borderId="0" xfId="0" applyFont="1"/>
    <xf numFmtId="0" fontId="47" fillId="0" borderId="0" xfId="0" applyFont="1" applyFill="1"/>
    <xf numFmtId="3" fontId="24" fillId="0" borderId="0" xfId="0" applyNumberFormat="1" applyFont="1" applyFill="1" applyBorder="1"/>
    <xf numFmtId="0" fontId="31" fillId="0" borderId="0" xfId="0" applyFont="1" applyAlignment="1">
      <alignment horizontal="right" wrapText="1"/>
    </xf>
    <xf numFmtId="3" fontId="31" fillId="0" borderId="0" xfId="0" applyNumberFormat="1" applyFont="1" applyFill="1"/>
    <xf numFmtId="3" fontId="48" fillId="0" borderId="0" xfId="0" applyNumberFormat="1" applyFont="1" applyFill="1"/>
    <xf numFmtId="0" fontId="49" fillId="0" borderId="0" xfId="0" applyFont="1"/>
    <xf numFmtId="3" fontId="44" fillId="0" borderId="0" xfId="0" applyNumberFormat="1" applyFont="1" applyFill="1"/>
    <xf numFmtId="0" fontId="50" fillId="0" borderId="0" xfId="0" applyFont="1"/>
    <xf numFmtId="0" fontId="51" fillId="0" borderId="0" xfId="0" applyFont="1"/>
    <xf numFmtId="3" fontId="23" fillId="0" borderId="24" xfId="0" applyNumberFormat="1" applyFont="1" applyFill="1" applyBorder="1"/>
    <xf numFmtId="0" fontId="22" fillId="0" borderId="0" xfId="0" applyFont="1" applyBorder="1" applyAlignment="1"/>
    <xf numFmtId="0" fontId="10" fillId="0" borderId="27" xfId="0" applyFont="1" applyFill="1" applyBorder="1" applyAlignment="1">
      <alignment horizontal="center" wrapText="1"/>
    </xf>
    <xf numFmtId="0" fontId="10" fillId="0" borderId="92" xfId="0" applyFont="1" applyFill="1" applyBorder="1" applyAlignment="1">
      <alignment horizontal="center" wrapText="1"/>
    </xf>
    <xf numFmtId="3" fontId="47" fillId="0" borderId="0" xfId="0" applyNumberFormat="1" applyFont="1"/>
    <xf numFmtId="3" fontId="12" fillId="0" borderId="20" xfId="0" applyNumberFormat="1" applyFont="1" applyFill="1" applyBorder="1"/>
    <xf numFmtId="4" fontId="12" fillId="0" borderId="30" xfId="0" applyNumberFormat="1" applyFont="1" applyFill="1" applyBorder="1" applyAlignment="1">
      <alignment wrapText="1"/>
    </xf>
    <xf numFmtId="3" fontId="12" fillId="0" borderId="13" xfId="0" applyNumberFormat="1" applyFont="1" applyFill="1" applyBorder="1"/>
    <xf numFmtId="3" fontId="11" fillId="0" borderId="96" xfId="0" applyNumberFormat="1" applyFont="1" applyFill="1" applyBorder="1"/>
    <xf numFmtId="0" fontId="5" fillId="0" borderId="15" xfId="0" applyFont="1" applyBorder="1" applyAlignment="1">
      <alignment wrapText="1"/>
    </xf>
    <xf numFmtId="0" fontId="5" fillId="0" borderId="16" xfId="0" applyFont="1" applyFill="1" applyBorder="1"/>
    <xf numFmtId="0" fontId="0" fillId="0" borderId="0" xfId="0" applyFill="1"/>
    <xf numFmtId="0" fontId="39" fillId="0" borderId="0" xfId="0" applyFont="1"/>
    <xf numFmtId="49" fontId="5" fillId="0" borderId="0" xfId="2" applyNumberFormat="1" applyFont="1"/>
    <xf numFmtId="0" fontId="5" fillId="0" borderId="0" xfId="2" applyFont="1" applyFill="1" applyAlignment="1">
      <alignment horizontal="center"/>
    </xf>
    <xf numFmtId="49" fontId="5" fillId="0" borderId="74" xfId="2" applyNumberFormat="1" applyFont="1" applyFill="1" applyBorder="1" applyAlignment="1">
      <alignment horizontal="center"/>
    </xf>
    <xf numFmtId="49" fontId="5" fillId="0" borderId="60" xfId="2" applyNumberFormat="1" applyFont="1" applyFill="1" applyBorder="1" applyAlignment="1">
      <alignment horizontal="center"/>
    </xf>
    <xf numFmtId="49" fontId="5" fillId="0" borderId="64" xfId="2" applyNumberFormat="1" applyFont="1" applyFill="1" applyBorder="1" applyAlignment="1">
      <alignment horizontal="center"/>
    </xf>
    <xf numFmtId="49" fontId="5" fillId="0" borderId="54" xfId="2" applyNumberFormat="1" applyFont="1" applyFill="1" applyBorder="1" applyAlignment="1">
      <alignment horizontal="right"/>
    </xf>
    <xf numFmtId="49" fontId="5" fillId="0" borderId="54" xfId="2" applyNumberFormat="1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 wrapText="1"/>
    </xf>
    <xf numFmtId="0" fontId="5" fillId="0" borderId="1" xfId="2" applyFont="1" applyFill="1" applyBorder="1"/>
    <xf numFmtId="3" fontId="5" fillId="0" borderId="1" xfId="2" applyNumberFormat="1" applyFont="1" applyFill="1" applyBorder="1" applyAlignment="1">
      <alignment wrapText="1"/>
    </xf>
    <xf numFmtId="3" fontId="5" fillId="0" borderId="10" xfId="2" applyNumberFormat="1" applyFont="1" applyFill="1" applyBorder="1" applyAlignment="1">
      <alignment wrapText="1"/>
    </xf>
    <xf numFmtId="3" fontId="17" fillId="0" borderId="1" xfId="2" applyNumberFormat="1" applyFont="1" applyFill="1" applyBorder="1" applyAlignment="1">
      <alignment wrapText="1"/>
    </xf>
    <xf numFmtId="3" fontId="5" fillId="0" borderId="1" xfId="2" applyNumberFormat="1" applyFont="1" applyFill="1" applyBorder="1"/>
    <xf numFmtId="3" fontId="5" fillId="4" borderId="4" xfId="2" applyNumberFormat="1" applyFont="1" applyFill="1" applyBorder="1"/>
    <xf numFmtId="3" fontId="5" fillId="0" borderId="22" xfId="2" applyNumberFormat="1" applyFont="1" applyFill="1" applyBorder="1" applyAlignment="1">
      <alignment wrapText="1"/>
    </xf>
    <xf numFmtId="0" fontId="5" fillId="0" borderId="8" xfId="2" applyFont="1" applyFill="1" applyBorder="1"/>
    <xf numFmtId="0" fontId="6" fillId="0" borderId="30" xfId="2" applyFont="1" applyFill="1" applyBorder="1" applyAlignment="1">
      <alignment horizontal="right"/>
    </xf>
    <xf numFmtId="0" fontId="5" fillId="0" borderId="15" xfId="2" applyFont="1" applyFill="1" applyBorder="1"/>
    <xf numFmtId="3" fontId="6" fillId="0" borderId="69" xfId="2" applyNumberFormat="1" applyFont="1" applyFill="1" applyBorder="1" applyAlignment="1">
      <alignment wrapText="1"/>
    </xf>
    <xf numFmtId="0" fontId="5" fillId="0" borderId="0" xfId="2" applyFont="1" applyFill="1" applyAlignment="1">
      <alignment wrapText="1"/>
    </xf>
    <xf numFmtId="0" fontId="5" fillId="0" borderId="34" xfId="2" applyFont="1" applyFill="1" applyBorder="1"/>
    <xf numFmtId="3" fontId="6" fillId="0" borderId="2" xfId="2" applyNumberFormat="1" applyFont="1" applyFill="1" applyBorder="1" applyAlignment="1">
      <alignment wrapText="1"/>
    </xf>
    <xf numFmtId="0" fontId="6" fillId="0" borderId="80" xfId="2" applyFont="1" applyFill="1" applyBorder="1" applyAlignment="1">
      <alignment horizontal="right"/>
    </xf>
    <xf numFmtId="3" fontId="17" fillId="0" borderId="3" xfId="2" applyNumberFormat="1" applyFont="1" applyFill="1" applyBorder="1" applyAlignment="1">
      <alignment wrapText="1"/>
    </xf>
    <xf numFmtId="3" fontId="21" fillId="0" borderId="3" xfId="2" applyNumberFormat="1" applyFont="1" applyFill="1" applyBorder="1" applyAlignment="1">
      <alignment wrapText="1"/>
    </xf>
    <xf numFmtId="3" fontId="6" fillId="0" borderId="31" xfId="2" applyNumberFormat="1" applyFont="1" applyFill="1" applyBorder="1" applyAlignment="1">
      <alignment wrapText="1"/>
    </xf>
    <xf numFmtId="3" fontId="6" fillId="0" borderId="8" xfId="2" applyNumberFormat="1" applyFont="1" applyFill="1" applyBorder="1" applyAlignment="1">
      <alignment wrapText="1"/>
    </xf>
    <xf numFmtId="0" fontId="5" fillId="0" borderId="34" xfId="2" applyFont="1" applyBorder="1"/>
    <xf numFmtId="0" fontId="54" fillId="0" borderId="34" xfId="2" applyFont="1" applyBorder="1"/>
    <xf numFmtId="3" fontId="5" fillId="0" borderId="16" xfId="2" applyNumberFormat="1" applyFont="1" applyFill="1" applyBorder="1" applyAlignment="1">
      <alignment wrapText="1"/>
    </xf>
    <xf numFmtId="49" fontId="5" fillId="0" borderId="78" xfId="2" applyNumberFormat="1" applyFont="1" applyFill="1" applyBorder="1" applyAlignment="1">
      <alignment horizontal="center"/>
    </xf>
    <xf numFmtId="49" fontId="5" fillId="0" borderId="60" xfId="0" applyNumberFormat="1" applyFont="1" applyFill="1" applyBorder="1" applyAlignment="1">
      <alignment horizontal="center"/>
    </xf>
    <xf numFmtId="3" fontId="5" fillId="0" borderId="4" xfId="2" applyNumberFormat="1" applyFont="1" applyFill="1" applyBorder="1"/>
    <xf numFmtId="3" fontId="5" fillId="0" borderId="0" xfId="2" applyNumberFormat="1" applyFont="1" applyFill="1"/>
    <xf numFmtId="3" fontId="5" fillId="0" borderId="10" xfId="2" applyNumberFormat="1" applyFont="1" applyFill="1" applyBorder="1"/>
    <xf numFmtId="3" fontId="5" fillId="0" borderId="0" xfId="2" applyNumberFormat="1" applyFont="1" applyFill="1" applyBorder="1"/>
    <xf numFmtId="3" fontId="17" fillId="0" borderId="13" xfId="2" applyNumberFormat="1" applyFont="1" applyFill="1" applyBorder="1" applyAlignment="1">
      <alignment wrapText="1"/>
    </xf>
    <xf numFmtId="3" fontId="5" fillId="0" borderId="0" xfId="2" applyNumberFormat="1" applyFont="1"/>
    <xf numFmtId="0" fontId="5" fillId="0" borderId="0" xfId="2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49" fontId="6" fillId="0" borderId="0" xfId="0" applyNumberFormat="1" applyFont="1"/>
    <xf numFmtId="49" fontId="5" fillId="0" borderId="0" xfId="0" applyNumberFormat="1" applyFont="1" applyAlignment="1">
      <alignment wrapText="1"/>
    </xf>
    <xf numFmtId="0" fontId="6" fillId="0" borderId="39" xfId="0" applyFont="1" applyBorder="1"/>
    <xf numFmtId="0" fontId="56" fillId="0" borderId="41" xfId="0" applyFont="1" applyBorder="1" applyAlignment="1">
      <alignment horizontal="center" wrapText="1"/>
    </xf>
    <xf numFmtId="0" fontId="42" fillId="0" borderId="46" xfId="0" applyFont="1" applyBorder="1"/>
    <xf numFmtId="0" fontId="6" fillId="0" borderId="42" xfId="0" applyFont="1" applyBorder="1"/>
    <xf numFmtId="0" fontId="6" fillId="0" borderId="102" xfId="0" applyFont="1" applyBorder="1"/>
    <xf numFmtId="0" fontId="6" fillId="0" borderId="61" xfId="0" applyFont="1" applyFill="1" applyBorder="1"/>
    <xf numFmtId="0" fontId="6" fillId="0" borderId="103" xfId="0" applyFont="1" applyFill="1" applyBorder="1"/>
    <xf numFmtId="1" fontId="42" fillId="0" borderId="6" xfId="0" applyNumberFormat="1" applyFont="1" applyBorder="1"/>
    <xf numFmtId="0" fontId="42" fillId="0" borderId="6" xfId="0" applyFont="1" applyBorder="1"/>
    <xf numFmtId="0" fontId="6" fillId="0" borderId="79" xfId="0" applyFont="1" applyBorder="1"/>
    <xf numFmtId="0" fontId="58" fillId="0" borderId="0" xfId="0" applyFont="1" applyAlignment="1">
      <alignment wrapText="1"/>
    </xf>
    <xf numFmtId="0" fontId="6" fillId="0" borderId="104" xfId="0" applyFont="1" applyBorder="1" applyAlignment="1">
      <alignment horizontal="left"/>
    </xf>
    <xf numFmtId="1" fontId="57" fillId="0" borderId="106" xfId="0" applyNumberFormat="1" applyFont="1" applyFill="1" applyBorder="1"/>
    <xf numFmtId="1" fontId="57" fillId="0" borderId="18" xfId="0" applyNumberFormat="1" applyFont="1" applyFill="1" applyBorder="1"/>
    <xf numFmtId="0" fontId="5" fillId="0" borderId="105" xfId="0" applyFont="1" applyBorder="1" applyAlignment="1">
      <alignment wrapText="1"/>
    </xf>
    <xf numFmtId="1" fontId="6" fillId="0" borderId="0" xfId="0" applyNumberFormat="1" applyFont="1" applyFill="1" applyBorder="1"/>
    <xf numFmtId="1" fontId="6" fillId="0" borderId="107" xfId="0" applyNumberFormat="1" applyFont="1" applyFill="1" applyBorder="1"/>
    <xf numFmtId="1" fontId="6" fillId="0" borderId="108" xfId="0" applyNumberFormat="1" applyFont="1" applyFill="1" applyBorder="1"/>
    <xf numFmtId="1" fontId="6" fillId="0" borderId="109" xfId="0" applyNumberFormat="1" applyFont="1" applyBorder="1"/>
    <xf numFmtId="1" fontId="6" fillId="0" borderId="110" xfId="0" applyNumberFormat="1" applyFont="1" applyFill="1" applyBorder="1"/>
    <xf numFmtId="1" fontId="6" fillId="0" borderId="111" xfId="0" applyNumberFormat="1" applyFont="1" applyFill="1" applyBorder="1"/>
    <xf numFmtId="0" fontId="45" fillId="0" borderId="0" xfId="0" applyFont="1"/>
    <xf numFmtId="0" fontId="45" fillId="0" borderId="0" xfId="0" applyFont="1" applyAlignment="1">
      <alignment wrapText="1"/>
    </xf>
    <xf numFmtId="0" fontId="10" fillId="0" borderId="9" xfId="4" applyFont="1" applyBorder="1" applyAlignment="1">
      <alignment horizontal="left" wrapText="1"/>
    </xf>
    <xf numFmtId="0" fontId="6" fillId="0" borderId="57" xfId="0" applyFont="1" applyFill="1" applyBorder="1"/>
    <xf numFmtId="0" fontId="24" fillId="0" borderId="0" xfId="0" applyFont="1" applyBorder="1" applyAlignment="1">
      <alignment horizontal="right" wrapText="1"/>
    </xf>
    <xf numFmtId="0" fontId="24" fillId="0" borderId="0" xfId="0" applyFont="1" applyFill="1" applyBorder="1"/>
    <xf numFmtId="1" fontId="24" fillId="0" borderId="0" xfId="0" applyNumberFormat="1" applyFont="1" applyFill="1" applyBorder="1"/>
    <xf numFmtId="3" fontId="45" fillId="0" borderId="0" xfId="0" applyNumberFormat="1" applyFont="1" applyBorder="1"/>
    <xf numFmtId="3" fontId="45" fillId="0" borderId="0" xfId="0" applyNumberFormat="1" applyFont="1"/>
    <xf numFmtId="3" fontId="45" fillId="0" borderId="0" xfId="0" applyNumberFormat="1" applyFont="1" applyBorder="1" applyAlignment="1">
      <alignment horizontal="right" wrapText="1"/>
    </xf>
    <xf numFmtId="1" fontId="24" fillId="0" borderId="101" xfId="0" applyNumberFormat="1" applyFont="1" applyFill="1" applyBorder="1"/>
    <xf numFmtId="0" fontId="24" fillId="0" borderId="55" xfId="0" applyFont="1" applyFill="1" applyBorder="1"/>
    <xf numFmtId="1" fontId="24" fillId="0" borderId="72" xfId="0" applyNumberFormat="1" applyFont="1" applyFill="1" applyBorder="1"/>
    <xf numFmtId="1" fontId="24" fillId="0" borderId="55" xfId="0" applyNumberFormat="1" applyFont="1" applyFill="1" applyBorder="1"/>
    <xf numFmtId="0" fontId="6" fillId="0" borderId="55" xfId="0" applyFont="1" applyFill="1" applyBorder="1"/>
    <xf numFmtId="1" fontId="24" fillId="0" borderId="9" xfId="0" applyNumberFormat="1" applyFont="1" applyFill="1" applyBorder="1"/>
    <xf numFmtId="1" fontId="24" fillId="0" borderId="1" xfId="0" applyNumberFormat="1" applyFont="1" applyFill="1" applyBorder="1"/>
    <xf numFmtId="0" fontId="4" fillId="0" borderId="1" xfId="0" applyFont="1" applyBorder="1" applyAlignment="1">
      <alignment wrapText="1"/>
    </xf>
    <xf numFmtId="0" fontId="4" fillId="0" borderId="1" xfId="0" applyFont="1" applyBorder="1"/>
    <xf numFmtId="3" fontId="10" fillId="0" borderId="1" xfId="0" applyNumberFormat="1" applyFont="1" applyBorder="1" applyAlignment="1">
      <alignment wrapText="1"/>
    </xf>
    <xf numFmtId="3" fontId="10" fillId="0" borderId="1" xfId="0" applyNumberFormat="1" applyFont="1" applyBorder="1"/>
    <xf numFmtId="0" fontId="10" fillId="0" borderId="1" xfId="0" applyFont="1" applyBorder="1" applyAlignment="1">
      <alignment horizontal="right" wrapText="1"/>
    </xf>
    <xf numFmtId="0" fontId="10" fillId="4" borderId="1" xfId="0" applyFont="1" applyFill="1" applyBorder="1"/>
    <xf numFmtId="0" fontId="11" fillId="0" borderId="1" xfId="0" applyFont="1" applyBorder="1"/>
    <xf numFmtId="0" fontId="11" fillId="0" borderId="1" xfId="4" applyFont="1" applyBorder="1"/>
    <xf numFmtId="3" fontId="10" fillId="0" borderId="0" xfId="0" applyNumberFormat="1" applyFont="1"/>
    <xf numFmtId="0" fontId="10" fillId="0" borderId="0" xfId="0" applyFont="1" applyAlignment="1">
      <alignment horizontal="right"/>
    </xf>
    <xf numFmtId="1" fontId="42" fillId="0" borderId="2" xfId="0" applyNumberFormat="1" applyFont="1" applyFill="1" applyBorder="1"/>
    <xf numFmtId="49" fontId="6" fillId="0" borderId="0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0" fontId="27" fillId="0" borderId="0" xfId="0" applyFont="1" applyFill="1" applyBorder="1" applyAlignment="1">
      <alignment horizontal="right"/>
    </xf>
    <xf numFmtId="0" fontId="27" fillId="0" borderId="0" xfId="0" applyFont="1" applyFill="1" applyBorder="1" applyAlignment="1">
      <alignment horizontal="right" wrapText="1"/>
    </xf>
    <xf numFmtId="1" fontId="42" fillId="0" borderId="46" xfId="0" applyNumberFormat="1" applyFont="1" applyBorder="1"/>
    <xf numFmtId="3" fontId="10" fillId="4" borderId="6" xfId="0" applyNumberFormat="1" applyFont="1" applyFill="1" applyBorder="1"/>
    <xf numFmtId="3" fontId="10" fillId="4" borderId="81" xfId="0" applyNumberFormat="1" applyFont="1" applyFill="1" applyBorder="1"/>
    <xf numFmtId="3" fontId="12" fillId="4" borderId="18" xfId="0" applyNumberFormat="1" applyFont="1" applyFill="1" applyBorder="1"/>
    <xf numFmtId="3" fontId="10" fillId="4" borderId="5" xfId="0" applyNumberFormat="1" applyFont="1" applyFill="1" applyBorder="1"/>
    <xf numFmtId="3" fontId="16" fillId="0" borderId="0" xfId="0" applyNumberFormat="1" applyFont="1" applyFill="1" applyBorder="1"/>
    <xf numFmtId="3" fontId="5" fillId="4" borderId="5" xfId="0" applyNumberFormat="1" applyFont="1" applyFill="1" applyBorder="1"/>
    <xf numFmtId="0" fontId="60" fillId="0" borderId="7" xfId="0" applyFont="1" applyFill="1" applyBorder="1" applyAlignment="1">
      <alignment horizontal="left" vertical="center" wrapText="1"/>
    </xf>
    <xf numFmtId="3" fontId="10" fillId="0" borderId="9" xfId="0" applyNumberFormat="1" applyFont="1" applyBorder="1"/>
    <xf numFmtId="3" fontId="10" fillId="0" borderId="23" xfId="0" applyNumberFormat="1" applyFont="1" applyBorder="1"/>
    <xf numFmtId="3" fontId="10" fillId="0" borderId="5" xfId="0" applyNumberFormat="1" applyFont="1" applyBorder="1"/>
    <xf numFmtId="3" fontId="11" fillId="0" borderId="5" xfId="0" applyNumberFormat="1" applyFont="1" applyBorder="1"/>
    <xf numFmtId="4" fontId="10" fillId="0" borderId="34" xfId="0" applyNumberFormat="1" applyFont="1" applyBorder="1" applyAlignment="1">
      <alignment wrapText="1"/>
    </xf>
    <xf numFmtId="0" fontId="10" fillId="4" borderId="1" xfId="0" applyFont="1" applyFill="1" applyBorder="1" applyAlignment="1">
      <alignment horizontal="left"/>
    </xf>
    <xf numFmtId="3" fontId="11" fillId="0" borderId="23" xfId="0" applyNumberFormat="1" applyFont="1" applyBorder="1"/>
    <xf numFmtId="3" fontId="10" fillId="0" borderId="77" xfId="0" applyNumberFormat="1" applyFont="1" applyFill="1" applyBorder="1"/>
    <xf numFmtId="0" fontId="14" fillId="0" borderId="15" xfId="0" applyFont="1" applyBorder="1"/>
    <xf numFmtId="0" fontId="14" fillId="0" borderId="80" xfId="0" applyFont="1" applyBorder="1" applyAlignment="1">
      <alignment wrapText="1"/>
    </xf>
    <xf numFmtId="3" fontId="14" fillId="0" borderId="77" xfId="0" applyNumberFormat="1" applyFont="1" applyFill="1" applyBorder="1"/>
    <xf numFmtId="49" fontId="40" fillId="0" borderId="7" xfId="2" applyNumberFormat="1" applyFont="1" applyBorder="1"/>
    <xf numFmtId="0" fontId="6" fillId="0" borderId="0" xfId="0" applyFont="1" applyAlignment="1">
      <alignment horizontal="center"/>
    </xf>
    <xf numFmtId="1" fontId="42" fillId="0" borderId="112" xfId="0" applyNumberFormat="1" applyFont="1" applyBorder="1"/>
    <xf numFmtId="3" fontId="5" fillId="0" borderId="1" xfId="0" applyNumberFormat="1" applyFont="1" applyFill="1" applyBorder="1"/>
    <xf numFmtId="0" fontId="5" fillId="0" borderId="7" xfId="0" applyFont="1" applyFill="1" applyBorder="1" applyAlignment="1">
      <alignment horizontal="left" vertical="center" wrapText="1"/>
    </xf>
    <xf numFmtId="0" fontId="10" fillId="0" borderId="98" xfId="0" applyFont="1" applyFill="1" applyBorder="1" applyAlignment="1">
      <alignment wrapText="1"/>
    </xf>
    <xf numFmtId="0" fontId="5" fillId="0" borderId="7" xfId="0" applyFont="1" applyBorder="1" applyAlignment="1">
      <alignment horizontal="left" vertical="center" wrapText="1"/>
    </xf>
    <xf numFmtId="0" fontId="62" fillId="0" borderId="0" xfId="0" applyFont="1" applyAlignment="1">
      <alignment horizontal="center" wrapText="1"/>
    </xf>
    <xf numFmtId="0" fontId="11" fillId="0" borderId="22" xfId="0" applyFont="1" applyFill="1" applyBorder="1" applyAlignment="1"/>
    <xf numFmtId="0" fontId="63" fillId="0" borderId="1" xfId="0" applyFont="1" applyFill="1" applyBorder="1" applyAlignment="1">
      <alignment wrapText="1"/>
    </xf>
    <xf numFmtId="3" fontId="11" fillId="0" borderId="23" xfId="0" applyNumberFormat="1" applyFont="1" applyFill="1" applyBorder="1"/>
    <xf numFmtId="3" fontId="36" fillId="0" borderId="0" xfId="0" applyNumberFormat="1" applyFont="1" applyFill="1"/>
    <xf numFmtId="0" fontId="14" fillId="0" borderId="0" xfId="0" applyFont="1"/>
    <xf numFmtId="0" fontId="14" fillId="0" borderId="0" xfId="0" applyFont="1" applyAlignment="1">
      <alignment wrapText="1"/>
    </xf>
    <xf numFmtId="3" fontId="36" fillId="0" borderId="0" xfId="0" applyNumberFormat="1" applyFont="1" applyFill="1" applyBorder="1"/>
    <xf numFmtId="0" fontId="23" fillId="0" borderId="7" xfId="0" applyFont="1" applyBorder="1"/>
    <xf numFmtId="3" fontId="23" fillId="5" borderId="5" xfId="0" applyNumberFormat="1" applyFont="1" applyFill="1" applyBorder="1"/>
    <xf numFmtId="3" fontId="64" fillId="0" borderId="0" xfId="0" applyNumberFormat="1" applyFont="1" applyFill="1" applyBorder="1"/>
    <xf numFmtId="3" fontId="65" fillId="0" borderId="0" xfId="0" applyNumberFormat="1" applyFont="1" applyFill="1" applyBorder="1"/>
    <xf numFmtId="0" fontId="5" fillId="0" borderId="0" xfId="0" applyFont="1" applyAlignment="1">
      <alignment horizontal="center"/>
    </xf>
    <xf numFmtId="0" fontId="5" fillId="0" borderId="11" xfId="0" applyFont="1" applyFill="1" applyBorder="1" applyAlignment="1">
      <alignment horizontal="left" wrapText="1"/>
    </xf>
    <xf numFmtId="0" fontId="11" fillId="0" borderId="93" xfId="0" applyFont="1" applyFill="1" applyBorder="1" applyAlignment="1">
      <alignment horizontal="center" wrapText="1"/>
    </xf>
    <xf numFmtId="0" fontId="62" fillId="0" borderId="0" xfId="0" applyFont="1" applyFill="1" applyBorder="1" applyAlignment="1">
      <alignment horizontal="center" wrapText="1"/>
    </xf>
    <xf numFmtId="3" fontId="62" fillId="0" borderId="0" xfId="0" applyNumberFormat="1" applyFont="1" applyFill="1" applyBorder="1"/>
    <xf numFmtId="3" fontId="66" fillId="0" borderId="0" xfId="0" applyNumberFormat="1" applyFont="1" applyFill="1" applyBorder="1"/>
    <xf numFmtId="0" fontId="34" fillId="0" borderId="0" xfId="0" applyFont="1" applyFill="1"/>
    <xf numFmtId="0" fontId="5" fillId="0" borderId="7" xfId="0" applyFont="1" applyFill="1" applyBorder="1" applyAlignment="1">
      <alignment horizontal="left" wrapText="1"/>
    </xf>
    <xf numFmtId="3" fontId="5" fillId="4" borderId="23" xfId="0" applyNumberFormat="1" applyFont="1" applyFill="1" applyBorder="1"/>
    <xf numFmtId="0" fontId="6" fillId="0" borderId="48" xfId="0" applyFont="1" applyFill="1" applyBorder="1"/>
    <xf numFmtId="0" fontId="24" fillId="0" borderId="6" xfId="0" applyFont="1" applyFill="1" applyBorder="1"/>
    <xf numFmtId="0" fontId="6" fillId="0" borderId="113" xfId="0" applyFont="1" applyFill="1" applyBorder="1"/>
    <xf numFmtId="0" fontId="24" fillId="0" borderId="69" xfId="0" applyFont="1" applyBorder="1"/>
    <xf numFmtId="0" fontId="5" fillId="0" borderId="36" xfId="0" applyFont="1" applyBorder="1" applyAlignment="1">
      <alignment wrapText="1"/>
    </xf>
    <xf numFmtId="0" fontId="67" fillId="0" borderId="0" xfId="0" applyFont="1" applyFill="1" applyAlignment="1">
      <alignment horizontal="center" wrapText="1"/>
    </xf>
    <xf numFmtId="0" fontId="70" fillId="0" borderId="0" xfId="0" applyFont="1"/>
    <xf numFmtId="3" fontId="5" fillId="0" borderId="1" xfId="0" applyNumberFormat="1" applyFont="1" applyFill="1" applyBorder="1" applyAlignment="1">
      <alignment wrapText="1"/>
    </xf>
    <xf numFmtId="0" fontId="5" fillId="0" borderId="0" xfId="0" applyFont="1" applyBorder="1" applyAlignment="1">
      <alignment horizontal="left"/>
    </xf>
    <xf numFmtId="0" fontId="6" fillId="0" borderId="59" xfId="0" applyFont="1" applyFill="1" applyBorder="1"/>
    <xf numFmtId="0" fontId="71" fillId="0" borderId="0" xfId="0" applyFont="1"/>
    <xf numFmtId="0" fontId="72" fillId="0" borderId="0" xfId="0" applyFont="1" applyFill="1" applyAlignment="1">
      <alignment wrapText="1"/>
    </xf>
    <xf numFmtId="0" fontId="73" fillId="0" borderId="0" xfId="0" applyFont="1" applyFill="1" applyAlignment="1">
      <alignment wrapText="1"/>
    </xf>
    <xf numFmtId="0" fontId="16" fillId="0" borderId="0" xfId="0" applyFont="1" applyFill="1" applyAlignment="1">
      <alignment wrapText="1"/>
    </xf>
    <xf numFmtId="0" fontId="71" fillId="0" borderId="0" xfId="0" applyFont="1" applyFill="1"/>
    <xf numFmtId="3" fontId="68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/>
    <xf numFmtId="0" fontId="16" fillId="0" borderId="0" xfId="0" applyFont="1" applyFill="1" applyBorder="1"/>
    <xf numFmtId="0" fontId="74" fillId="0" borderId="0" xfId="0" applyFont="1" applyFill="1"/>
    <xf numFmtId="3" fontId="7" fillId="0" borderId="0" xfId="0" applyNumberFormat="1" applyFont="1" applyFill="1" applyBorder="1"/>
    <xf numFmtId="3" fontId="69" fillId="0" borderId="0" xfId="0" applyNumberFormat="1" applyFont="1" applyFill="1" applyBorder="1" applyAlignment="1">
      <alignment horizontal="center"/>
    </xf>
    <xf numFmtId="3" fontId="12" fillId="0" borderId="0" xfId="0" applyNumberFormat="1" applyFont="1" applyFill="1" applyBorder="1"/>
    <xf numFmtId="3" fontId="75" fillId="0" borderId="0" xfId="0" applyNumberFormat="1" applyFont="1" applyFill="1" applyBorder="1"/>
    <xf numFmtId="0" fontId="76" fillId="0" borderId="0" xfId="0" applyFont="1"/>
    <xf numFmtId="3" fontId="75" fillId="0" borderId="0" xfId="0" applyNumberFormat="1" applyFont="1" applyBorder="1"/>
    <xf numFmtId="0" fontId="16" fillId="0" borderId="0" xfId="0" applyFont="1" applyBorder="1"/>
    <xf numFmtId="0" fontId="18" fillId="0" borderId="0" xfId="0" applyFont="1" applyBorder="1" applyAlignment="1">
      <alignment horizontal="center"/>
    </xf>
    <xf numFmtId="0" fontId="77" fillId="0" borderId="0" xfId="0" applyFont="1" applyBorder="1" applyAlignment="1">
      <alignment horizontal="center" wrapText="1"/>
    </xf>
    <xf numFmtId="3" fontId="10" fillId="0" borderId="0" xfId="0" applyNumberFormat="1" applyFont="1" applyFill="1" applyBorder="1" applyAlignment="1">
      <alignment horizontal="center" wrapText="1"/>
    </xf>
    <xf numFmtId="0" fontId="73" fillId="0" borderId="0" xfId="0" applyFont="1" applyAlignment="1">
      <alignment wrapText="1"/>
    </xf>
    <xf numFmtId="3" fontId="68" fillId="0" borderId="0" xfId="0" applyNumberFormat="1" applyFont="1" applyFill="1" applyBorder="1" applyAlignment="1">
      <alignment horizontal="right"/>
    </xf>
    <xf numFmtId="0" fontId="76" fillId="0" borderId="0" xfId="0" applyFont="1" applyFill="1" applyBorder="1"/>
    <xf numFmtId="3" fontId="78" fillId="0" borderId="0" xfId="0" applyNumberFormat="1" applyFont="1" applyFill="1" applyBorder="1"/>
    <xf numFmtId="0" fontId="19" fillId="0" borderId="0" xfId="0" applyFont="1" applyBorder="1"/>
    <xf numFmtId="3" fontId="16" fillId="0" borderId="0" xfId="0" applyNumberFormat="1" applyFont="1" applyFill="1" applyBorder="1" applyAlignment="1">
      <alignment horizontal="right"/>
    </xf>
    <xf numFmtId="3" fontId="77" fillId="0" borderId="0" xfId="0" applyNumberFormat="1" applyFont="1" applyFill="1" applyBorder="1"/>
    <xf numFmtId="3" fontId="68" fillId="0" borderId="0" xfId="0" applyNumberFormat="1" applyFont="1" applyFill="1" applyBorder="1"/>
    <xf numFmtId="3" fontId="77" fillId="0" borderId="0" xfId="0" applyNumberFormat="1" applyFont="1" applyBorder="1"/>
    <xf numFmtId="3" fontId="68" fillId="0" borderId="0" xfId="0" applyNumberFormat="1" applyFont="1" applyBorder="1"/>
    <xf numFmtId="3" fontId="79" fillId="0" borderId="0" xfId="0" applyNumberFormat="1" applyFont="1" applyBorder="1"/>
    <xf numFmtId="0" fontId="78" fillId="0" borderId="0" xfId="0" applyFont="1"/>
    <xf numFmtId="3" fontId="16" fillId="0" borderId="0" xfId="0" applyNumberFormat="1" applyFont="1" applyBorder="1" applyAlignment="1">
      <alignment horizontal="right"/>
    </xf>
    <xf numFmtId="3" fontId="69" fillId="0" borderId="0" xfId="0" applyNumberFormat="1" applyFont="1" applyBorder="1"/>
    <xf numFmtId="0" fontId="80" fillId="0" borderId="0" xfId="0" applyFont="1"/>
    <xf numFmtId="0" fontId="10" fillId="0" borderId="0" xfId="0" applyFont="1" applyFill="1" applyAlignment="1">
      <alignment wrapText="1"/>
    </xf>
    <xf numFmtId="3" fontId="10" fillId="0" borderId="0" xfId="0" applyNumberFormat="1" applyFont="1" applyBorder="1"/>
    <xf numFmtId="0" fontId="77" fillId="0" borderId="0" xfId="0" applyFont="1" applyBorder="1"/>
    <xf numFmtId="3" fontId="5" fillId="0" borderId="0" xfId="0" applyNumberFormat="1" applyFont="1" applyBorder="1"/>
    <xf numFmtId="3" fontId="16" fillId="0" borderId="0" xfId="4" applyNumberFormat="1" applyFont="1" applyFill="1" applyBorder="1"/>
    <xf numFmtId="3" fontId="69" fillId="0" borderId="0" xfId="0" applyNumberFormat="1" applyFont="1" applyFill="1" applyBorder="1"/>
    <xf numFmtId="0" fontId="77" fillId="0" borderId="0" xfId="0" applyFont="1"/>
    <xf numFmtId="0" fontId="62" fillId="0" borderId="0" xfId="0" applyFont="1" applyBorder="1" applyAlignment="1">
      <alignment horizontal="center" vertical="center"/>
    </xf>
    <xf numFmtId="0" fontId="81" fillId="0" borderId="0" xfId="0" applyFont="1" applyFill="1"/>
    <xf numFmtId="0" fontId="82" fillId="0" borderId="0" xfId="0" applyFont="1"/>
    <xf numFmtId="0" fontId="62" fillId="0" borderId="0" xfId="0" applyFont="1" applyBorder="1" applyAlignment="1">
      <alignment horizontal="center" vertical="center" wrapText="1"/>
    </xf>
    <xf numFmtId="0" fontId="82" fillId="0" borderId="0" xfId="0" applyFont="1" applyFill="1"/>
    <xf numFmtId="0" fontId="70" fillId="0" borderId="0" xfId="0" applyFont="1" applyFill="1" applyAlignment="1">
      <alignment horizontal="center"/>
    </xf>
    <xf numFmtId="0" fontId="45" fillId="0" borderId="0" xfId="0" applyFont="1" applyAlignment="1">
      <alignment horizontal="center"/>
    </xf>
    <xf numFmtId="3" fontId="67" fillId="0" borderId="0" xfId="0" applyNumberFormat="1" applyFont="1" applyBorder="1" applyAlignment="1">
      <alignment horizontal="center"/>
    </xf>
    <xf numFmtId="3" fontId="73" fillId="0" borderId="0" xfId="0" applyNumberFormat="1" applyFont="1" applyBorder="1"/>
    <xf numFmtId="0" fontId="77" fillId="0" borderId="0" xfId="0" applyFont="1" applyFill="1"/>
    <xf numFmtId="3" fontId="5" fillId="4" borderId="0" xfId="0" applyNumberFormat="1" applyFont="1" applyFill="1" applyBorder="1"/>
    <xf numFmtId="3" fontId="5" fillId="2" borderId="0" xfId="0" applyNumberFormat="1" applyFont="1" applyFill="1" applyBorder="1"/>
    <xf numFmtId="3" fontId="5" fillId="0" borderId="0" xfId="0" applyNumberFormat="1" applyFont="1" applyFill="1" applyBorder="1" applyAlignment="1">
      <alignment horizontal="right" vertical="top" wrapText="1"/>
    </xf>
    <xf numFmtId="3" fontId="17" fillId="0" borderId="0" xfId="0" applyNumberFormat="1" applyFont="1" applyFill="1" applyBorder="1"/>
    <xf numFmtId="3" fontId="83" fillId="0" borderId="0" xfId="0" applyNumberFormat="1" applyFont="1" applyFill="1" applyBorder="1"/>
    <xf numFmtId="3" fontId="17" fillId="0" borderId="0" xfId="0" applyNumberFormat="1" applyFont="1" applyBorder="1"/>
    <xf numFmtId="0" fontId="17" fillId="0" borderId="0" xfId="0" applyFont="1" applyFill="1" applyBorder="1" applyAlignment="1">
      <alignment horizontal="center" wrapText="1"/>
    </xf>
    <xf numFmtId="3" fontId="17" fillId="0" borderId="0" xfId="0" applyNumberFormat="1" applyFont="1"/>
    <xf numFmtId="0" fontId="84" fillId="0" borderId="1" xfId="0" applyFont="1" applyFill="1" applyBorder="1" applyAlignment="1">
      <alignment wrapText="1"/>
    </xf>
    <xf numFmtId="0" fontId="17" fillId="0" borderId="0" xfId="0" applyFont="1"/>
    <xf numFmtId="0" fontId="70" fillId="0" borderId="0" xfId="0" applyFont="1" applyFill="1" applyBorder="1" applyAlignment="1">
      <alignment horizontal="center" wrapText="1"/>
    </xf>
    <xf numFmtId="3" fontId="11" fillId="0" borderId="0" xfId="0" applyNumberFormat="1" applyFont="1" applyBorder="1"/>
    <xf numFmtId="3" fontId="63" fillId="0" borderId="0" xfId="0" applyNumberFormat="1" applyFont="1"/>
    <xf numFmtId="0" fontId="37" fillId="0" borderId="0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10" fillId="0" borderId="0" xfId="0" applyFont="1" applyFill="1"/>
    <xf numFmtId="0" fontId="10" fillId="2" borderId="1" xfId="0" applyFont="1" applyFill="1" applyBorder="1"/>
    <xf numFmtId="0" fontId="12" fillId="0" borderId="0" xfId="0" applyFont="1" applyFill="1"/>
    <xf numFmtId="3" fontId="44" fillId="0" borderId="0" xfId="0" applyNumberFormat="1" applyFont="1" applyFill="1" applyBorder="1"/>
    <xf numFmtId="0" fontId="44" fillId="0" borderId="0" xfId="0" applyFont="1" applyFill="1" applyBorder="1" applyAlignment="1">
      <alignment wrapText="1"/>
    </xf>
    <xf numFmtId="3" fontId="30" fillId="0" borderId="0" xfId="0" applyNumberFormat="1" applyFont="1" applyFill="1" applyBorder="1"/>
    <xf numFmtId="0" fontId="44" fillId="0" borderId="0" xfId="0" applyFont="1" applyBorder="1" applyAlignment="1">
      <alignment wrapText="1"/>
    </xf>
    <xf numFmtId="0" fontId="5" fillId="0" borderId="10" xfId="0" applyFont="1" applyBorder="1" applyAlignment="1">
      <alignment horizontal="left" vertical="center" wrapText="1"/>
    </xf>
    <xf numFmtId="0" fontId="67" fillId="0" borderId="0" xfId="0" applyFont="1"/>
    <xf numFmtId="0" fontId="88" fillId="0" borderId="0" xfId="0" applyFont="1" applyFill="1" applyAlignment="1">
      <alignment horizontal="center" wrapText="1"/>
    </xf>
    <xf numFmtId="0" fontId="91" fillId="0" borderId="0" xfId="0" applyFont="1"/>
    <xf numFmtId="0" fontId="11" fillId="0" borderId="1" xfId="0" applyFont="1" applyFill="1" applyBorder="1"/>
    <xf numFmtId="0" fontId="10" fillId="0" borderId="1" xfId="0" applyFont="1" applyFill="1" applyBorder="1"/>
    <xf numFmtId="3" fontId="5" fillId="0" borderId="88" xfId="0" applyNumberFormat="1" applyFont="1" applyFill="1" applyBorder="1"/>
    <xf numFmtId="0" fontId="92" fillId="0" borderId="0" xfId="0" applyFont="1"/>
    <xf numFmtId="0" fontId="93" fillId="0" borderId="0" xfId="0" applyFont="1" applyFill="1"/>
    <xf numFmtId="0" fontId="94" fillId="0" borderId="0" xfId="0" applyFont="1" applyFill="1"/>
    <xf numFmtId="0" fontId="95" fillId="0" borderId="0" xfId="0" applyFont="1"/>
    <xf numFmtId="0" fontId="96" fillId="0" borderId="0" xfId="0" applyFont="1"/>
    <xf numFmtId="0" fontId="86" fillId="0" borderId="0" xfId="0" applyFont="1"/>
    <xf numFmtId="0" fontId="24" fillId="0" borderId="0" xfId="0" applyFont="1" applyAlignment="1">
      <alignment horizontal="right"/>
    </xf>
    <xf numFmtId="1" fontId="31" fillId="0" borderId="0" xfId="0" applyNumberFormat="1" applyFont="1"/>
    <xf numFmtId="3" fontId="97" fillId="0" borderId="0" xfId="0" applyNumberFormat="1" applyFont="1" applyFill="1"/>
    <xf numFmtId="3" fontId="47" fillId="0" borderId="0" xfId="0" applyNumberFormat="1" applyFont="1" applyFill="1"/>
    <xf numFmtId="0" fontId="4" fillId="0" borderId="0" xfId="0" applyFont="1" applyBorder="1"/>
    <xf numFmtId="0" fontId="10" fillId="0" borderId="0" xfId="0" applyFont="1" applyBorder="1"/>
    <xf numFmtId="0" fontId="10" fillId="0" borderId="0" xfId="0" applyFont="1" applyFill="1" applyBorder="1"/>
    <xf numFmtId="0" fontId="10" fillId="0" borderId="0" xfId="0" applyFont="1" applyBorder="1" applyAlignment="1">
      <alignment horizontal="right"/>
    </xf>
    <xf numFmtId="0" fontId="91" fillId="0" borderId="0" xfId="0" applyFont="1" applyFill="1"/>
    <xf numFmtId="0" fontId="88" fillId="0" borderId="0" xfId="0" applyFont="1" applyFill="1" applyBorder="1" applyAlignment="1">
      <alignment horizontal="center" wrapText="1"/>
    </xf>
    <xf numFmtId="0" fontId="38" fillId="0" borderId="0" xfId="0" applyFont="1" applyFill="1" applyBorder="1" applyAlignment="1">
      <alignment wrapText="1"/>
    </xf>
    <xf numFmtId="0" fontId="89" fillId="0" borderId="0" xfId="0" applyFont="1" applyFill="1" applyBorder="1" applyAlignment="1">
      <alignment wrapText="1"/>
    </xf>
    <xf numFmtId="0" fontId="9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/>
    <xf numFmtId="0" fontId="89" fillId="0" borderId="0" xfId="0" applyFont="1" applyFill="1" applyBorder="1" applyAlignment="1">
      <alignment horizontal="right" wrapText="1"/>
    </xf>
    <xf numFmtId="0" fontId="90" fillId="0" borderId="0" xfId="0" applyFont="1" applyFill="1" applyBorder="1" applyAlignment="1">
      <alignment wrapText="1"/>
    </xf>
    <xf numFmtId="0" fontId="24" fillId="0" borderId="9" xfId="0" applyFont="1" applyFill="1" applyBorder="1"/>
    <xf numFmtId="0" fontId="6" fillId="0" borderId="0" xfId="2" applyFont="1"/>
    <xf numFmtId="49" fontId="16" fillId="0" borderId="0" xfId="2" applyNumberFormat="1" applyFont="1" applyAlignment="1">
      <alignment horizontal="center"/>
    </xf>
    <xf numFmtId="0" fontId="19" fillId="0" borderId="0" xfId="2" applyFont="1" applyAlignment="1">
      <alignment horizontal="center"/>
    </xf>
    <xf numFmtId="49" fontId="19" fillId="0" borderId="0" xfId="2" applyNumberFormat="1" applyFont="1" applyAlignment="1">
      <alignment horizontal="center"/>
    </xf>
    <xf numFmtId="0" fontId="16" fillId="0" borderId="0" xfId="2" applyFont="1" applyAlignment="1">
      <alignment horizontal="center"/>
    </xf>
    <xf numFmtId="49" fontId="24" fillId="0" borderId="101" xfId="2" applyNumberFormat="1" applyFont="1" applyBorder="1" applyAlignment="1">
      <alignment horizontal="center"/>
    </xf>
    <xf numFmtId="0" fontId="6" fillId="0" borderId="82" xfId="2" applyFont="1" applyBorder="1" applyAlignment="1">
      <alignment horizontal="center"/>
    </xf>
    <xf numFmtId="49" fontId="5" fillId="0" borderId="56" xfId="2" applyNumberFormat="1" applyFont="1" applyFill="1" applyBorder="1" applyAlignment="1">
      <alignment horizontal="center"/>
    </xf>
    <xf numFmtId="1" fontId="55" fillId="0" borderId="97" xfId="2" applyNumberFormat="1" applyFont="1" applyBorder="1" applyAlignment="1">
      <alignment horizontal="center" wrapText="1"/>
    </xf>
    <xf numFmtId="0" fontId="55" fillId="0" borderId="26" xfId="2" applyFont="1" applyBorder="1" applyAlignment="1">
      <alignment horizontal="center" wrapText="1"/>
    </xf>
    <xf numFmtId="0" fontId="44" fillId="0" borderId="73" xfId="2" applyFont="1" applyBorder="1" applyAlignment="1">
      <alignment horizontal="center" wrapText="1"/>
    </xf>
    <xf numFmtId="0" fontId="44" fillId="0" borderId="99" xfId="2" applyFont="1" applyBorder="1" applyAlignment="1">
      <alignment horizontal="center" wrapText="1"/>
    </xf>
    <xf numFmtId="0" fontId="44" fillId="2" borderId="73" xfId="2" applyFont="1" applyFill="1" applyBorder="1" applyAlignment="1">
      <alignment horizontal="center" wrapText="1"/>
    </xf>
    <xf numFmtId="0" fontId="44" fillId="4" borderId="73" xfId="2" applyFont="1" applyFill="1" applyBorder="1" applyAlignment="1">
      <alignment horizontal="center" wrapText="1"/>
    </xf>
    <xf numFmtId="0" fontId="44" fillId="0" borderId="73" xfId="2" applyFont="1" applyFill="1" applyBorder="1" applyAlignment="1">
      <alignment horizontal="center" wrapText="1"/>
    </xf>
    <xf numFmtId="0" fontId="100" fillId="4" borderId="73" xfId="2" applyFont="1" applyFill="1" applyBorder="1" applyAlignment="1">
      <alignment horizontal="center" wrapText="1"/>
    </xf>
    <xf numFmtId="0" fontId="5" fillId="0" borderId="98" xfId="2" applyFont="1" applyBorder="1"/>
    <xf numFmtId="3" fontId="5" fillId="2" borderId="4" xfId="2" applyNumberFormat="1" applyFont="1" applyFill="1" applyBorder="1"/>
    <xf numFmtId="3" fontId="5" fillId="0" borderId="25" xfId="2" applyNumberFormat="1" applyFont="1" applyBorder="1"/>
    <xf numFmtId="3" fontId="5" fillId="0" borderId="4" xfId="2" applyNumberFormat="1" applyFont="1" applyBorder="1"/>
    <xf numFmtId="3" fontId="40" fillId="0" borderId="4" xfId="2" applyNumberFormat="1" applyFont="1" applyBorder="1"/>
    <xf numFmtId="0" fontId="5" fillId="0" borderId="9" xfId="2" applyFont="1" applyBorder="1"/>
    <xf numFmtId="0" fontId="5" fillId="0" borderId="34" xfId="2" applyFont="1" applyBorder="1" applyAlignment="1">
      <alignment wrapText="1"/>
    </xf>
    <xf numFmtId="3" fontId="5" fillId="2" borderId="25" xfId="2" applyNumberFormat="1" applyFont="1" applyFill="1" applyBorder="1"/>
    <xf numFmtId="3" fontId="40" fillId="0" borderId="1" xfId="2" applyNumberFormat="1" applyFont="1" applyBorder="1"/>
    <xf numFmtId="0" fontId="0" fillId="0" borderId="0" xfId="0" applyAlignment="1">
      <alignment wrapText="1"/>
    </xf>
    <xf numFmtId="3" fontId="98" fillId="0" borderId="0" xfId="0" applyNumberFormat="1" applyFont="1"/>
    <xf numFmtId="0" fontId="5" fillId="0" borderId="28" xfId="2" applyFont="1" applyBorder="1"/>
    <xf numFmtId="3" fontId="40" fillId="4" borderId="1" xfId="2" applyNumberFormat="1" applyFont="1" applyFill="1" applyBorder="1"/>
    <xf numFmtId="3" fontId="40" fillId="4" borderId="4" xfId="2" applyNumberFormat="1" applyFont="1" applyFill="1" applyBorder="1"/>
    <xf numFmtId="0" fontId="5" fillId="0" borderId="20" xfId="2" applyFont="1" applyBorder="1"/>
    <xf numFmtId="0" fontId="6" fillId="0" borderId="30" xfId="2" applyFont="1" applyBorder="1" applyAlignment="1">
      <alignment horizontal="right"/>
    </xf>
    <xf numFmtId="3" fontId="17" fillId="0" borderId="3" xfId="2" applyNumberFormat="1" applyFont="1" applyBorder="1"/>
    <xf numFmtId="0" fontId="5" fillId="0" borderId="97" xfId="2" applyFont="1" applyBorder="1"/>
    <xf numFmtId="0" fontId="5" fillId="0" borderId="15" xfId="2" applyFont="1" applyBorder="1"/>
    <xf numFmtId="0" fontId="5" fillId="0" borderId="80" xfId="2" applyFont="1" applyBorder="1" applyAlignment="1">
      <alignment horizontal="right"/>
    </xf>
    <xf numFmtId="3" fontId="6" fillId="0" borderId="69" xfId="2" applyNumberFormat="1" applyFont="1" applyBorder="1"/>
    <xf numFmtId="3" fontId="6" fillId="0" borderId="70" xfId="2" applyNumberFormat="1" applyFont="1" applyBorder="1"/>
    <xf numFmtId="0" fontId="5" fillId="0" borderId="0" xfId="2" applyFont="1" applyBorder="1"/>
    <xf numFmtId="0" fontId="5" fillId="0" borderId="0" xfId="2" applyFont="1" applyBorder="1" applyAlignment="1">
      <alignment horizontal="right"/>
    </xf>
    <xf numFmtId="3" fontId="6" fillId="0" borderId="0" xfId="2" applyNumberFormat="1" applyFont="1" applyBorder="1"/>
    <xf numFmtId="3" fontId="85" fillId="0" borderId="0" xfId="2" applyNumberFormat="1" applyFont="1" applyBorder="1"/>
    <xf numFmtId="3" fontId="101" fillId="0" borderId="0" xfId="2" applyNumberFormat="1" applyFont="1" applyBorder="1"/>
    <xf numFmtId="0" fontId="98" fillId="0" borderId="0" xfId="0" applyFont="1"/>
    <xf numFmtId="3" fontId="40" fillId="0" borderId="0" xfId="2" applyNumberFormat="1" applyFont="1"/>
    <xf numFmtId="0" fontId="6" fillId="0" borderId="8" xfId="2" applyFont="1" applyBorder="1"/>
    <xf numFmtId="0" fontId="6" fillId="0" borderId="3" xfId="2" applyFont="1" applyBorder="1"/>
    <xf numFmtId="3" fontId="6" fillId="0" borderId="45" xfId="2" applyNumberFormat="1" applyFont="1" applyBorder="1"/>
    <xf numFmtId="0" fontId="5" fillId="0" borderId="1" xfId="2" applyFont="1" applyBorder="1"/>
    <xf numFmtId="3" fontId="5" fillId="0" borderId="1" xfId="2" applyNumberFormat="1" applyFont="1" applyBorder="1"/>
    <xf numFmtId="3" fontId="5" fillId="0" borderId="10" xfId="2" applyNumberFormat="1" applyFont="1" applyBorder="1"/>
    <xf numFmtId="3" fontId="5" fillId="0" borderId="34" xfId="2" applyNumberFormat="1" applyFont="1" applyBorder="1"/>
    <xf numFmtId="3" fontId="6" fillId="0" borderId="33" xfId="2" applyNumberFormat="1" applyFont="1" applyBorder="1"/>
    <xf numFmtId="3" fontId="6" fillId="0" borderId="2" xfId="2" applyNumberFormat="1" applyFont="1" applyBorder="1"/>
    <xf numFmtId="0" fontId="5" fillId="0" borderId="22" xfId="2" applyFont="1" applyBorder="1"/>
    <xf numFmtId="3" fontId="6" fillId="0" borderId="31" xfId="2" applyNumberFormat="1" applyFont="1" applyBorder="1"/>
    <xf numFmtId="0" fontId="6" fillId="0" borderId="15" xfId="2" applyFont="1" applyBorder="1"/>
    <xf numFmtId="0" fontId="6" fillId="0" borderId="16" xfId="2" applyFont="1" applyBorder="1"/>
    <xf numFmtId="0" fontId="6" fillId="0" borderId="80" xfId="2" applyFont="1" applyBorder="1" applyAlignment="1">
      <alignment horizontal="right"/>
    </xf>
    <xf numFmtId="49" fontId="40" fillId="0" borderId="0" xfId="2" applyNumberFormat="1" applyFont="1"/>
    <xf numFmtId="0" fontId="41" fillId="0" borderId="0" xfId="2" applyFont="1"/>
    <xf numFmtId="49" fontId="40" fillId="0" borderId="0" xfId="2" applyNumberFormat="1" applyFont="1" applyAlignment="1">
      <alignment horizontal="center"/>
    </xf>
    <xf numFmtId="49" fontId="103" fillId="0" borderId="0" xfId="2" applyNumberFormat="1" applyFont="1" applyAlignment="1">
      <alignment horizontal="center"/>
    </xf>
    <xf numFmtId="0" fontId="103" fillId="0" borderId="0" xfId="2" applyFont="1" applyAlignment="1">
      <alignment horizontal="center"/>
    </xf>
    <xf numFmtId="0" fontId="40" fillId="0" borderId="0" xfId="2" applyFont="1"/>
    <xf numFmtId="0" fontId="40" fillId="0" borderId="0" xfId="2" applyFont="1" applyAlignment="1">
      <alignment horizontal="center"/>
    </xf>
    <xf numFmtId="49" fontId="41" fillId="0" borderId="87" xfId="2" applyNumberFormat="1" applyFont="1" applyBorder="1" applyAlignment="1">
      <alignment horizontal="center"/>
    </xf>
    <xf numFmtId="49" fontId="41" fillId="0" borderId="74" xfId="2" applyNumberFormat="1" applyFont="1" applyBorder="1" applyAlignment="1">
      <alignment horizontal="center"/>
    </xf>
    <xf numFmtId="0" fontId="104" fillId="0" borderId="74" xfId="2" applyFont="1" applyBorder="1" applyAlignment="1">
      <alignment horizontal="center"/>
    </xf>
    <xf numFmtId="0" fontId="100" fillId="0" borderId="0" xfId="2" applyFont="1" applyAlignment="1">
      <alignment horizontal="center"/>
    </xf>
    <xf numFmtId="0" fontId="42" fillId="0" borderId="0" xfId="2" applyFont="1"/>
    <xf numFmtId="0" fontId="42" fillId="0" borderId="12" xfId="2" applyFont="1" applyBorder="1"/>
    <xf numFmtId="0" fontId="42" fillId="0" borderId="4" xfId="2" applyFont="1" applyBorder="1"/>
    <xf numFmtId="0" fontId="40" fillId="0" borderId="1" xfId="2" applyFont="1" applyBorder="1"/>
    <xf numFmtId="1" fontId="40" fillId="0" borderId="4" xfId="2" applyNumberFormat="1" applyFont="1" applyFill="1" applyBorder="1"/>
    <xf numFmtId="0" fontId="40" fillId="0" borderId="22" xfId="2" applyFont="1" applyBorder="1"/>
    <xf numFmtId="0" fontId="29" fillId="0" borderId="8" xfId="2" applyFont="1" applyBorder="1"/>
    <xf numFmtId="0" fontId="29" fillId="0" borderId="3" xfId="2" applyFont="1" applyBorder="1"/>
    <xf numFmtId="0" fontId="29" fillId="0" borderId="0" xfId="2" applyFont="1"/>
    <xf numFmtId="0" fontId="29" fillId="0" borderId="15" xfId="2" applyFont="1" applyBorder="1"/>
    <xf numFmtId="0" fontId="29" fillId="0" borderId="16" xfId="2" applyFont="1" applyBorder="1"/>
    <xf numFmtId="0" fontId="100" fillId="0" borderId="0" xfId="2" applyFont="1"/>
    <xf numFmtId="1" fontId="40" fillId="0" borderId="0" xfId="2" applyNumberFormat="1" applyFont="1"/>
    <xf numFmtId="1" fontId="3" fillId="0" borderId="4" xfId="2" applyNumberFormat="1" applyFont="1" applyBorder="1"/>
    <xf numFmtId="0" fontId="105" fillId="0" borderId="36" xfId="2" applyFont="1" applyBorder="1"/>
    <xf numFmtId="0" fontId="100" fillId="0" borderId="34" xfId="2" applyFont="1" applyBorder="1"/>
    <xf numFmtId="0" fontId="40" fillId="0" borderId="7" xfId="2" applyFont="1" applyBorder="1"/>
    <xf numFmtId="0" fontId="41" fillId="0" borderId="3" xfId="2" applyFont="1" applyBorder="1"/>
    <xf numFmtId="0" fontId="42" fillId="0" borderId="7" xfId="2" applyFont="1" applyBorder="1"/>
    <xf numFmtId="0" fontId="42" fillId="0" borderId="1" xfId="2" applyFont="1" applyBorder="1"/>
    <xf numFmtId="0" fontId="105" fillId="0" borderId="32" xfId="2" applyFont="1" applyBorder="1"/>
    <xf numFmtId="0" fontId="44" fillId="0" borderId="34" xfId="4" applyFont="1" applyBorder="1" applyAlignment="1">
      <alignment wrapText="1"/>
    </xf>
    <xf numFmtId="0" fontId="107" fillId="0" borderId="0" xfId="2" applyFont="1"/>
    <xf numFmtId="0" fontId="100" fillId="0" borderId="0" xfId="2" applyFont="1" applyAlignment="1">
      <alignment wrapText="1"/>
    </xf>
    <xf numFmtId="1" fontId="42" fillId="0" borderId="0" xfId="2" applyNumberFormat="1" applyFont="1"/>
    <xf numFmtId="1" fontId="40" fillId="0" borderId="0" xfId="2" applyNumberFormat="1" applyFont="1" applyAlignment="1">
      <alignment horizontal="center"/>
    </xf>
    <xf numFmtId="3" fontId="42" fillId="0" borderId="0" xfId="2" applyNumberFormat="1" applyFont="1"/>
    <xf numFmtId="3" fontId="100" fillId="0" borderId="0" xfId="2" applyNumberFormat="1" applyFont="1"/>
    <xf numFmtId="49" fontId="100" fillId="0" borderId="0" xfId="2" applyNumberFormat="1" applyFont="1"/>
    <xf numFmtId="49" fontId="42" fillId="0" borderId="0" xfId="2" applyNumberFormat="1" applyFont="1"/>
    <xf numFmtId="3" fontId="106" fillId="0" borderId="0" xfId="2" applyNumberFormat="1" applyFont="1"/>
    <xf numFmtId="0" fontId="5" fillId="0" borderId="54" xfId="2" applyFont="1" applyBorder="1"/>
    <xf numFmtId="0" fontId="5" fillId="0" borderId="55" xfId="2" applyFont="1" applyBorder="1"/>
    <xf numFmtId="3" fontId="5" fillId="0" borderId="22" xfId="2" applyNumberFormat="1" applyFont="1" applyBorder="1"/>
    <xf numFmtId="3" fontId="5" fillId="0" borderId="38" xfId="2" applyNumberFormat="1" applyFont="1" applyBorder="1"/>
    <xf numFmtId="3" fontId="5" fillId="0" borderId="36" xfId="2" applyNumberFormat="1" applyFont="1" applyBorder="1"/>
    <xf numFmtId="0" fontId="10" fillId="0" borderId="16" xfId="2" applyFont="1" applyBorder="1" applyAlignment="1">
      <alignment horizontal="center" wrapText="1"/>
    </xf>
    <xf numFmtId="0" fontId="10" fillId="0" borderId="69" xfId="2" applyFont="1" applyBorder="1" applyAlignment="1">
      <alignment horizontal="center" wrapText="1"/>
    </xf>
    <xf numFmtId="3" fontId="5" fillId="0" borderId="69" xfId="2" applyNumberFormat="1" applyFont="1" applyBorder="1"/>
    <xf numFmtId="3" fontId="5" fillId="0" borderId="16" xfId="2" applyNumberFormat="1" applyFont="1" applyBorder="1"/>
    <xf numFmtId="0" fontId="10" fillId="0" borderId="97" xfId="2" applyFont="1" applyBorder="1"/>
    <xf numFmtId="0" fontId="10" fillId="0" borderId="8" xfId="2" applyFont="1" applyBorder="1"/>
    <xf numFmtId="0" fontId="10" fillId="0" borderId="3" xfId="2" applyFont="1" applyBorder="1"/>
    <xf numFmtId="0" fontId="10" fillId="0" borderId="30" xfId="2" applyFont="1" applyBorder="1" applyAlignment="1">
      <alignment horizontal="center"/>
    </xf>
    <xf numFmtId="3" fontId="10" fillId="0" borderId="31" xfId="2" applyNumberFormat="1" applyFont="1" applyBorder="1" applyAlignment="1">
      <alignment horizontal="center" wrapText="1"/>
    </xf>
    <xf numFmtId="0" fontId="10" fillId="0" borderId="8" xfId="2" applyFont="1" applyBorder="1" applyAlignment="1">
      <alignment horizontal="center" wrapText="1"/>
    </xf>
    <xf numFmtId="0" fontId="10" fillId="0" borderId="3" xfId="2" applyFont="1" applyBorder="1" applyAlignment="1">
      <alignment horizontal="center" wrapText="1"/>
    </xf>
    <xf numFmtId="0" fontId="10" fillId="0" borderId="13" xfId="2" applyFont="1" applyBorder="1" applyAlignment="1">
      <alignment horizontal="center" wrapText="1"/>
    </xf>
    <xf numFmtId="3" fontId="5" fillId="0" borderId="54" xfId="2" applyNumberFormat="1" applyFont="1" applyBorder="1"/>
    <xf numFmtId="3" fontId="5" fillId="0" borderId="54" xfId="2" applyNumberFormat="1" applyFont="1" applyFill="1" applyBorder="1"/>
    <xf numFmtId="0" fontId="10" fillId="0" borderId="26" xfId="2" applyFont="1" applyBorder="1" applyAlignment="1">
      <alignment horizontal="center"/>
    </xf>
    <xf numFmtId="0" fontId="5" fillId="0" borderId="76" xfId="2" applyFont="1" applyBorder="1" applyAlignment="1">
      <alignment horizontal="right"/>
    </xf>
    <xf numFmtId="0" fontId="5" fillId="0" borderId="48" xfId="2" applyFont="1" applyBorder="1" applyAlignment="1">
      <alignment wrapText="1"/>
    </xf>
    <xf numFmtId="0" fontId="5" fillId="0" borderId="91" xfId="2" applyFont="1" applyBorder="1" applyAlignment="1">
      <alignment wrapText="1"/>
    </xf>
    <xf numFmtId="0" fontId="5" fillId="0" borderId="91" xfId="2" applyFont="1" applyBorder="1"/>
    <xf numFmtId="0" fontId="6" fillId="0" borderId="100" xfId="2" applyFont="1" applyBorder="1" applyAlignment="1">
      <alignment horizontal="right"/>
    </xf>
    <xf numFmtId="49" fontId="24" fillId="0" borderId="54" xfId="2" applyNumberFormat="1" applyFont="1" applyBorder="1" applyAlignment="1">
      <alignment horizontal="center"/>
    </xf>
    <xf numFmtId="0" fontId="99" fillId="0" borderId="16" xfId="2" applyFont="1" applyBorder="1" applyAlignment="1">
      <alignment horizontal="center" wrapText="1"/>
    </xf>
    <xf numFmtId="0" fontId="10" fillId="0" borderId="16" xfId="2" applyFont="1" applyBorder="1"/>
    <xf numFmtId="0" fontId="5" fillId="0" borderId="4" xfId="2" applyFont="1" applyBorder="1"/>
    <xf numFmtId="0" fontId="5" fillId="0" borderId="3" xfId="2" applyFont="1" applyBorder="1"/>
    <xf numFmtId="0" fontId="5" fillId="0" borderId="56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0" fontId="5" fillId="0" borderId="11" xfId="2" applyFont="1" applyBorder="1" applyAlignment="1">
      <alignment horizontal="right"/>
    </xf>
    <xf numFmtId="0" fontId="108" fillId="0" borderId="34" xfId="2" applyFont="1" applyBorder="1"/>
    <xf numFmtId="0" fontId="58" fillId="0" borderId="8" xfId="2" applyFont="1" applyBorder="1"/>
    <xf numFmtId="0" fontId="58" fillId="0" borderId="3" xfId="2" applyFont="1" applyBorder="1"/>
    <xf numFmtId="0" fontId="105" fillId="0" borderId="34" xfId="2" applyFont="1" applyBorder="1"/>
    <xf numFmtId="0" fontId="3" fillId="0" borderId="1" xfId="2" applyFont="1" applyBorder="1"/>
    <xf numFmtId="1" fontId="3" fillId="0" borderId="1" xfId="2" applyNumberFormat="1" applyFont="1" applyFill="1" applyBorder="1"/>
    <xf numFmtId="1" fontId="104" fillId="0" borderId="71" xfId="2" applyNumberFormat="1" applyFont="1" applyBorder="1" applyAlignment="1">
      <alignment horizontal="center" wrapText="1"/>
    </xf>
    <xf numFmtId="0" fontId="100" fillId="0" borderId="60" xfId="2" applyFont="1" applyBorder="1" applyAlignment="1">
      <alignment horizontal="center" wrapText="1"/>
    </xf>
    <xf numFmtId="0" fontId="104" fillId="0" borderId="60" xfId="2" applyFont="1" applyBorder="1" applyAlignment="1">
      <alignment horizontal="center" wrapText="1"/>
    </xf>
    <xf numFmtId="0" fontId="105" fillId="0" borderId="60" xfId="4" applyFont="1" applyBorder="1" applyAlignment="1">
      <alignment horizontal="left" wrapText="1"/>
    </xf>
    <xf numFmtId="0" fontId="44" fillId="0" borderId="60" xfId="2" applyFont="1" applyBorder="1" applyAlignment="1">
      <alignment horizontal="center" wrapText="1"/>
    </xf>
    <xf numFmtId="0" fontId="100" fillId="0" borderId="60" xfId="2" applyFont="1" applyFill="1" applyBorder="1" applyAlignment="1">
      <alignment horizontal="right" wrapText="1"/>
    </xf>
    <xf numFmtId="0" fontId="100" fillId="0" borderId="60" xfId="2" applyFont="1" applyBorder="1" applyAlignment="1">
      <alignment horizontal="right" wrapText="1"/>
    </xf>
    <xf numFmtId="0" fontId="100" fillId="0" borderId="78" xfId="2" applyFont="1" applyBorder="1" applyAlignment="1">
      <alignment horizontal="center" wrapText="1"/>
    </xf>
    <xf numFmtId="0" fontId="3" fillId="0" borderId="30" xfId="2" applyFont="1" applyBorder="1" applyAlignment="1">
      <alignment horizontal="right"/>
    </xf>
    <xf numFmtId="0" fontId="3" fillId="0" borderId="80" xfId="2" applyFont="1" applyBorder="1" applyAlignment="1">
      <alignment horizontal="right"/>
    </xf>
    <xf numFmtId="49" fontId="40" fillId="0" borderId="74" xfId="2" applyNumberFormat="1" applyFont="1" applyFill="1" applyBorder="1" applyAlignment="1">
      <alignment horizontal="center"/>
    </xf>
    <xf numFmtId="0" fontId="100" fillId="0" borderId="60" xfId="2" applyFont="1" applyFill="1" applyBorder="1" applyAlignment="1">
      <alignment horizontal="center" wrapText="1"/>
    </xf>
    <xf numFmtId="1" fontId="29" fillId="0" borderId="31" xfId="2" applyNumberFormat="1" applyFont="1" applyFill="1" applyBorder="1"/>
    <xf numFmtId="1" fontId="107" fillId="0" borderId="69" xfId="2" applyNumberFormat="1" applyFont="1" applyFill="1" applyBorder="1"/>
    <xf numFmtId="1" fontId="40" fillId="0" borderId="0" xfId="2" applyNumberFormat="1" applyFont="1" applyFill="1"/>
    <xf numFmtId="0" fontId="106" fillId="0" borderId="4" xfId="2" applyFont="1" applyBorder="1" applyAlignment="1">
      <alignment horizontal="right"/>
    </xf>
    <xf numFmtId="1" fontId="42" fillId="0" borderId="4" xfId="2" applyNumberFormat="1" applyFont="1" applyFill="1" applyBorder="1"/>
    <xf numFmtId="1" fontId="107" fillId="0" borderId="3" xfId="2" applyNumberFormat="1" applyFont="1" applyFill="1" applyBorder="1"/>
    <xf numFmtId="1" fontId="107" fillId="0" borderId="13" xfId="2" applyNumberFormat="1" applyFont="1" applyFill="1" applyBorder="1"/>
    <xf numFmtId="0" fontId="3" fillId="0" borderId="7" xfId="2" applyFont="1" applyBorder="1" applyAlignment="1">
      <alignment horizontal="right"/>
    </xf>
    <xf numFmtId="0" fontId="40" fillId="0" borderId="7" xfId="2" applyFont="1" applyBorder="1" applyAlignment="1">
      <alignment horizontal="right"/>
    </xf>
    <xf numFmtId="0" fontId="3" fillId="0" borderId="115" xfId="2" applyFont="1" applyBorder="1" applyAlignment="1">
      <alignment horizontal="right"/>
    </xf>
    <xf numFmtId="0" fontId="40" fillId="0" borderId="73" xfId="2" applyFont="1" applyBorder="1"/>
    <xf numFmtId="0" fontId="3" fillId="0" borderId="12" xfId="2" applyFont="1" applyBorder="1" applyAlignment="1">
      <alignment horizontal="right"/>
    </xf>
    <xf numFmtId="0" fontId="3" fillId="0" borderId="4" xfId="2" applyFont="1" applyBorder="1"/>
    <xf numFmtId="0" fontId="41" fillId="0" borderId="8" xfId="2" applyFont="1" applyBorder="1"/>
    <xf numFmtId="0" fontId="40" fillId="0" borderId="3" xfId="2" applyFont="1" applyBorder="1" applyAlignment="1">
      <alignment horizontal="center" wrapText="1"/>
    </xf>
    <xf numFmtId="0" fontId="40" fillId="0" borderId="13" xfId="2" applyFont="1" applyBorder="1" applyAlignment="1">
      <alignment horizontal="center" wrapText="1"/>
    </xf>
    <xf numFmtId="0" fontId="100" fillId="0" borderId="30" xfId="2" applyFont="1" applyBorder="1" applyAlignment="1">
      <alignment horizontal="center"/>
    </xf>
    <xf numFmtId="0" fontId="105" fillId="0" borderId="32" xfId="2" applyFont="1" applyBorder="1" applyAlignment="1">
      <alignment horizontal="right"/>
    </xf>
    <xf numFmtId="0" fontId="40" fillId="0" borderId="70" xfId="2" applyFont="1" applyBorder="1" applyAlignment="1">
      <alignment horizontal="center" wrapText="1"/>
    </xf>
    <xf numFmtId="0" fontId="40" fillId="0" borderId="31" xfId="2" applyFont="1" applyFill="1" applyBorder="1" applyAlignment="1">
      <alignment horizontal="center" wrapText="1"/>
    </xf>
    <xf numFmtId="1" fontId="42" fillId="0" borderId="33" xfId="2" applyNumberFormat="1" applyFont="1" applyFill="1" applyBorder="1"/>
    <xf numFmtId="1" fontId="42" fillId="0" borderId="2" xfId="2" applyNumberFormat="1" applyFont="1" applyFill="1" applyBorder="1"/>
    <xf numFmtId="1" fontId="40" fillId="0" borderId="2" xfId="2" applyNumberFormat="1" applyFont="1" applyFill="1" applyBorder="1"/>
    <xf numFmtId="1" fontId="40" fillId="0" borderId="49" xfId="2" applyNumberFormat="1" applyFont="1" applyFill="1" applyBorder="1"/>
    <xf numFmtId="0" fontId="105" fillId="0" borderId="34" xfId="2" applyFont="1" applyBorder="1" applyAlignment="1">
      <alignment wrapText="1"/>
    </xf>
    <xf numFmtId="0" fontId="108" fillId="0" borderId="114" xfId="2" applyFont="1" applyBorder="1"/>
    <xf numFmtId="1" fontId="107" fillId="0" borderId="70" xfId="2" applyNumberFormat="1" applyFont="1" applyFill="1" applyBorder="1"/>
    <xf numFmtId="1" fontId="41" fillId="0" borderId="2" xfId="2" applyNumberFormat="1" applyFont="1" applyFill="1" applyBorder="1"/>
    <xf numFmtId="1" fontId="41" fillId="0" borderId="49" xfId="2" applyNumberFormat="1" applyFont="1" applyFill="1" applyBorder="1"/>
    <xf numFmtId="1" fontId="107" fillId="0" borderId="31" xfId="2" applyNumberFormat="1" applyFont="1" applyFill="1" applyBorder="1"/>
    <xf numFmtId="1" fontId="61" fillId="0" borderId="31" xfId="2" applyNumberFormat="1" applyFont="1" applyFill="1" applyBorder="1" applyAlignment="1">
      <alignment horizontal="center" wrapText="1"/>
    </xf>
    <xf numFmtId="0" fontId="12" fillId="0" borderId="3" xfId="0" applyFont="1" applyBorder="1" applyAlignment="1">
      <alignment horizontal="center" vertical="center"/>
    </xf>
    <xf numFmtId="3" fontId="12" fillId="0" borderId="13" xfId="0" applyNumberFormat="1" applyFont="1" applyFill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wrapText="1"/>
    </xf>
    <xf numFmtId="3" fontId="17" fillId="0" borderId="0" xfId="2" applyNumberFormat="1" applyFont="1" applyFill="1" applyBorder="1" applyAlignment="1">
      <alignment wrapText="1"/>
    </xf>
    <xf numFmtId="3" fontId="5" fillId="0" borderId="0" xfId="2" applyNumberFormat="1" applyFont="1" applyFill="1" applyBorder="1" applyAlignment="1">
      <alignment wrapText="1"/>
    </xf>
    <xf numFmtId="3" fontId="7" fillId="0" borderId="0" xfId="2" applyNumberFormat="1" applyFont="1" applyFill="1" applyAlignment="1">
      <alignment horizontal="center"/>
    </xf>
    <xf numFmtId="3" fontId="16" fillId="0" borderId="0" xfId="4" applyNumberFormat="1" applyFont="1" applyFill="1"/>
    <xf numFmtId="3" fontId="5" fillId="0" borderId="0" xfId="2" applyNumberFormat="1" applyFont="1" applyAlignment="1">
      <alignment horizontal="right"/>
    </xf>
    <xf numFmtId="3" fontId="16" fillId="0" borderId="0" xfId="4" applyNumberFormat="1" applyFont="1"/>
    <xf numFmtId="49" fontId="5" fillId="0" borderId="0" xfId="2" applyNumberFormat="1" applyFont="1" applyAlignment="1">
      <alignment horizontal="center"/>
    </xf>
    <xf numFmtId="49" fontId="7" fillId="0" borderId="0" xfId="2" applyNumberFormat="1" applyFont="1" applyAlignment="1">
      <alignment horizontal="center"/>
    </xf>
    <xf numFmtId="49" fontId="45" fillId="0" borderId="0" xfId="2" applyNumberFormat="1" applyFont="1" applyFill="1" applyBorder="1" applyAlignment="1">
      <alignment horizontal="center"/>
    </xf>
    <xf numFmtId="49" fontId="5" fillId="2" borderId="0" xfId="2" applyNumberFormat="1" applyFont="1" applyFill="1" applyAlignment="1">
      <alignment horizontal="center"/>
    </xf>
    <xf numFmtId="0" fontId="16" fillId="0" borderId="0" xfId="4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40" fillId="4" borderId="0" xfId="2" applyFont="1" applyFill="1"/>
    <xf numFmtId="0" fontId="16" fillId="0" borderId="0" xfId="4" applyFont="1" applyAlignment="1">
      <alignment horizontal="center"/>
    </xf>
    <xf numFmtId="49" fontId="5" fillId="0" borderId="74" xfId="2" applyNumberFormat="1" applyFont="1" applyBorder="1" applyAlignment="1">
      <alignment horizontal="center"/>
    </xf>
    <xf numFmtId="0" fontId="5" fillId="0" borderId="73" xfId="2" applyFont="1" applyBorder="1" applyAlignment="1">
      <alignment horizontal="center" wrapText="1"/>
    </xf>
    <xf numFmtId="0" fontId="16" fillId="0" borderId="73" xfId="2" applyFont="1" applyFill="1" applyBorder="1" applyAlignment="1">
      <alignment horizontal="center" wrapText="1"/>
    </xf>
    <xf numFmtId="0" fontId="16" fillId="0" borderId="73" xfId="4" applyFont="1" applyFill="1" applyBorder="1" applyAlignment="1">
      <alignment horizontal="center" wrapText="1"/>
    </xf>
    <xf numFmtId="0" fontId="16" fillId="0" borderId="99" xfId="2" applyFont="1" applyFill="1" applyBorder="1" applyAlignment="1">
      <alignment horizontal="center" wrapText="1"/>
    </xf>
    <xf numFmtId="0" fontId="20" fillId="0" borderId="73" xfId="4" applyFont="1" applyFill="1" applyBorder="1" applyAlignment="1">
      <alignment wrapText="1"/>
    </xf>
    <xf numFmtId="0" fontId="16" fillId="0" borderId="73" xfId="0" applyFont="1" applyFill="1" applyBorder="1" applyAlignment="1">
      <alignment horizontal="center" wrapText="1"/>
    </xf>
    <xf numFmtId="0" fontId="16" fillId="0" borderId="77" xfId="2" applyFont="1" applyFill="1" applyBorder="1" applyAlignment="1">
      <alignment horizontal="center" wrapText="1"/>
    </xf>
    <xf numFmtId="0" fontId="5" fillId="0" borderId="80" xfId="2" applyFont="1" applyBorder="1" applyAlignment="1">
      <alignment horizontal="center"/>
    </xf>
    <xf numFmtId="0" fontId="5" fillId="0" borderId="69" xfId="2" applyFont="1" applyBorder="1" applyAlignment="1">
      <alignment horizontal="center" wrapText="1"/>
    </xf>
    <xf numFmtId="0" fontId="5" fillId="0" borderId="12" xfId="2" applyFont="1" applyBorder="1"/>
    <xf numFmtId="0" fontId="5" fillId="0" borderId="32" xfId="2" applyFont="1" applyBorder="1" applyAlignment="1">
      <alignment horizontal="right"/>
    </xf>
    <xf numFmtId="0" fontId="5" fillId="0" borderId="7" xfId="2" applyFont="1" applyBorder="1"/>
    <xf numFmtId="3" fontId="5" fillId="0" borderId="1" xfId="2" applyNumberFormat="1" applyFont="1" applyBorder="1" applyAlignment="1">
      <alignment wrapText="1"/>
    </xf>
    <xf numFmtId="3" fontId="5" fillId="2" borderId="1" xfId="2" applyNumberFormat="1" applyFont="1" applyFill="1" applyBorder="1" applyAlignment="1">
      <alignment wrapText="1"/>
    </xf>
    <xf numFmtId="0" fontId="5" fillId="0" borderId="11" xfId="2" applyFont="1" applyBorder="1"/>
    <xf numFmtId="0" fontId="5" fillId="0" borderId="0" xfId="2" applyFont="1" applyAlignment="1">
      <alignment wrapText="1"/>
    </xf>
    <xf numFmtId="0" fontId="5" fillId="2" borderId="0" xfId="2" applyFont="1" applyFill="1"/>
    <xf numFmtId="0" fontId="15" fillId="0" borderId="30" xfId="2" applyFont="1" applyBorder="1" applyAlignment="1">
      <alignment horizontal="center"/>
    </xf>
    <xf numFmtId="0" fontId="5" fillId="0" borderId="31" xfId="2" applyFont="1" applyBorder="1" applyAlignment="1">
      <alignment horizontal="center" wrapText="1"/>
    </xf>
    <xf numFmtId="0" fontId="5" fillId="0" borderId="3" xfId="2" applyFont="1" applyBorder="1" applyAlignment="1">
      <alignment horizontal="center" wrapText="1"/>
    </xf>
    <xf numFmtId="0" fontId="5" fillId="0" borderId="70" xfId="2" applyFont="1" applyBorder="1" applyAlignment="1">
      <alignment horizontal="center" wrapText="1"/>
    </xf>
    <xf numFmtId="3" fontId="6" fillId="0" borderId="45" xfId="2" applyNumberFormat="1" applyFont="1" applyBorder="1" applyAlignment="1">
      <alignment wrapText="1"/>
    </xf>
    <xf numFmtId="3" fontId="6" fillId="0" borderId="2" xfId="2" applyNumberFormat="1" applyFont="1" applyBorder="1" applyAlignment="1">
      <alignment wrapText="1"/>
    </xf>
    <xf numFmtId="3" fontId="5" fillId="0" borderId="7" xfId="2" applyNumberFormat="1" applyFont="1" applyBorder="1" applyAlignment="1">
      <alignment wrapText="1"/>
    </xf>
    <xf numFmtId="0" fontId="5" fillId="0" borderId="22" xfId="2" applyFont="1" applyFill="1" applyBorder="1"/>
    <xf numFmtId="0" fontId="6" fillId="0" borderId="3" xfId="2" applyFont="1" applyFill="1" applyBorder="1"/>
    <xf numFmtId="3" fontId="6" fillId="0" borderId="3" xfId="2" applyNumberFormat="1" applyFont="1" applyFill="1" applyBorder="1" applyAlignment="1">
      <alignment wrapText="1"/>
    </xf>
    <xf numFmtId="0" fontId="6" fillId="0" borderId="16" xfId="2" applyFont="1" applyFill="1" applyBorder="1"/>
    <xf numFmtId="0" fontId="5" fillId="0" borderId="3" xfId="2" applyFont="1" applyFill="1" applyBorder="1"/>
    <xf numFmtId="0" fontId="5" fillId="0" borderId="16" xfId="2" applyFont="1" applyFill="1" applyBorder="1"/>
    <xf numFmtId="0" fontId="5" fillId="0" borderId="12" xfId="2" applyFont="1" applyBorder="1" applyAlignment="1">
      <alignment horizontal="right"/>
    </xf>
    <xf numFmtId="0" fontId="5" fillId="0" borderId="32" xfId="2" applyFont="1" applyBorder="1"/>
    <xf numFmtId="3" fontId="5" fillId="0" borderId="54" xfId="2" applyNumberFormat="1" applyFont="1" applyBorder="1" applyAlignment="1">
      <alignment wrapText="1"/>
    </xf>
    <xf numFmtId="3" fontId="5" fillId="0" borderId="7" xfId="2" applyNumberFormat="1" applyFont="1" applyFill="1" applyBorder="1" applyAlignment="1">
      <alignment wrapText="1"/>
    </xf>
    <xf numFmtId="0" fontId="54" fillId="0" borderId="34" xfId="2" applyFont="1" applyFill="1" applyBorder="1"/>
    <xf numFmtId="0" fontId="5" fillId="0" borderId="36" xfId="2" applyFont="1" applyBorder="1"/>
    <xf numFmtId="1" fontId="6" fillId="0" borderId="33" xfId="2" applyNumberFormat="1" applyFont="1" applyBorder="1" applyAlignment="1">
      <alignment wrapText="1"/>
    </xf>
    <xf numFmtId="0" fontId="5" fillId="0" borderId="100" xfId="0" applyFont="1" applyBorder="1" applyAlignment="1">
      <alignment horizontal="center" wrapText="1"/>
    </xf>
    <xf numFmtId="0" fontId="6" fillId="0" borderId="102" xfId="0" applyFont="1" applyFill="1" applyBorder="1"/>
    <xf numFmtId="1" fontId="6" fillId="0" borderId="48" xfId="0" applyNumberFormat="1" applyFont="1" applyFill="1" applyBorder="1"/>
    <xf numFmtId="1" fontId="57" fillId="0" borderId="100" xfId="0" applyNumberFormat="1" applyFont="1" applyFill="1" applyBorder="1"/>
    <xf numFmtId="1" fontId="57" fillId="0" borderId="31" xfId="0" applyNumberFormat="1" applyFont="1" applyFill="1" applyBorder="1"/>
    <xf numFmtId="0" fontId="6" fillId="0" borderId="31" xfId="0" applyFont="1" applyFill="1" applyBorder="1"/>
    <xf numFmtId="49" fontId="40" fillId="0" borderId="89" xfId="2" applyNumberFormat="1" applyFont="1" applyFill="1" applyBorder="1" applyAlignment="1">
      <alignment horizontal="center"/>
    </xf>
    <xf numFmtId="49" fontId="40" fillId="0" borderId="60" xfId="2" applyNumberFormat="1" applyFont="1" applyFill="1" applyBorder="1" applyAlignment="1">
      <alignment horizontal="center"/>
    </xf>
    <xf numFmtId="49" fontId="40" fillId="0" borderId="78" xfId="2" applyNumberFormat="1" applyFont="1" applyFill="1" applyBorder="1" applyAlignment="1">
      <alignment horizontal="center"/>
    </xf>
    <xf numFmtId="49" fontId="40" fillId="0" borderId="60" xfId="4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5" fillId="0" borderId="13" xfId="0" applyFont="1" applyBorder="1" applyAlignment="1">
      <alignment horizontal="center" wrapText="1"/>
    </xf>
    <xf numFmtId="0" fontId="5" fillId="0" borderId="95" xfId="0" applyFont="1" applyBorder="1" applyAlignment="1">
      <alignment horizontal="left" wrapText="1"/>
    </xf>
    <xf numFmtId="0" fontId="5" fillId="0" borderId="14" xfId="0" applyFont="1" applyFill="1" applyBorder="1"/>
    <xf numFmtId="3" fontId="5" fillId="0" borderId="96" xfId="0" applyNumberFormat="1" applyFont="1" applyFill="1" applyBorder="1"/>
    <xf numFmtId="0" fontId="6" fillId="0" borderId="8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3" fontId="6" fillId="4" borderId="13" xfId="0" applyNumberFormat="1" applyFont="1" applyFill="1" applyBorder="1"/>
    <xf numFmtId="0" fontId="5" fillId="0" borderId="3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top" wrapText="1"/>
    </xf>
    <xf numFmtId="3" fontId="5" fillId="4" borderId="33" xfId="0" applyNumberFormat="1" applyFont="1" applyFill="1" applyBorder="1" applyAlignment="1">
      <alignment horizontal="right" vertical="top" wrapText="1"/>
    </xf>
    <xf numFmtId="0" fontId="5" fillId="0" borderId="7" xfId="0" applyFont="1" applyBorder="1" applyAlignment="1">
      <alignment horizontal="left" vertical="top" wrapText="1"/>
    </xf>
    <xf numFmtId="3" fontId="5" fillId="0" borderId="2" xfId="0" applyNumberFormat="1" applyFont="1" applyFill="1" applyBorder="1" applyAlignment="1">
      <alignment horizontal="right" vertical="top" wrapText="1"/>
    </xf>
    <xf numFmtId="3" fontId="5" fillId="0" borderId="2" xfId="0" applyNumberFormat="1" applyFont="1" applyFill="1" applyBorder="1" applyAlignment="1">
      <alignment horizontal="right" wrapText="1"/>
    </xf>
    <xf numFmtId="0" fontId="60" fillId="0" borderId="7" xfId="0" applyFont="1" applyBorder="1" applyAlignment="1">
      <alignment horizontal="left" wrapText="1"/>
    </xf>
    <xf numFmtId="3" fontId="5" fillId="4" borderId="2" xfId="0" applyNumberFormat="1" applyFont="1" applyFill="1" applyBorder="1" applyAlignment="1">
      <alignment horizontal="right" wrapText="1"/>
    </xf>
    <xf numFmtId="0" fontId="5" fillId="0" borderId="7" xfId="0" applyFont="1" applyBorder="1" applyAlignment="1">
      <alignment vertical="top" wrapText="1"/>
    </xf>
    <xf numFmtId="1" fontId="61" fillId="0" borderId="34" xfId="0" applyNumberFormat="1" applyFont="1" applyBorder="1"/>
    <xf numFmtId="3" fontId="61" fillId="0" borderId="2" xfId="0" applyNumberFormat="1" applyFont="1" applyBorder="1"/>
    <xf numFmtId="3" fontId="5" fillId="2" borderId="2" xfId="0" applyNumberFormat="1" applyFont="1" applyFill="1" applyBorder="1" applyAlignment="1">
      <alignment horizontal="right" wrapText="1"/>
    </xf>
    <xf numFmtId="0" fontId="60" fillId="0" borderId="7" xfId="0" applyFont="1" applyFill="1" applyBorder="1" applyAlignment="1">
      <alignment horizontal="left" wrapText="1"/>
    </xf>
    <xf numFmtId="0" fontId="5" fillId="0" borderId="32" xfId="0" applyFont="1" applyFill="1" applyBorder="1"/>
    <xf numFmtId="3" fontId="5" fillId="0" borderId="2" xfId="0" applyNumberFormat="1" applyFont="1" applyFill="1" applyBorder="1" applyAlignment="1"/>
    <xf numFmtId="3" fontId="5" fillId="0" borderId="37" xfId="0" applyNumberFormat="1" applyFont="1" applyFill="1" applyBorder="1" applyAlignment="1"/>
    <xf numFmtId="0" fontId="60" fillId="0" borderId="11" xfId="0" applyFont="1" applyFill="1" applyBorder="1" applyAlignment="1">
      <alignment horizontal="left" wrapText="1"/>
    </xf>
    <xf numFmtId="0" fontId="5" fillId="0" borderId="68" xfId="0" applyFont="1" applyFill="1" applyBorder="1"/>
    <xf numFmtId="3" fontId="5" fillId="0" borderId="58" xfId="0" applyNumberFormat="1" applyFont="1" applyFill="1" applyBorder="1"/>
    <xf numFmtId="0" fontId="6" fillId="0" borderId="30" xfId="0" applyFont="1" applyBorder="1"/>
    <xf numFmtId="3" fontId="6" fillId="0" borderId="31" xfId="0" applyNumberFormat="1" applyFont="1" applyBorder="1"/>
    <xf numFmtId="0" fontId="5" fillId="0" borderId="12" xfId="0" applyFont="1" applyBorder="1" applyAlignment="1">
      <alignment horizontal="left" wrapText="1"/>
    </xf>
    <xf numFmtId="3" fontId="5" fillId="0" borderId="23" xfId="0" applyNumberFormat="1" applyFont="1" applyFill="1" applyBorder="1"/>
    <xf numFmtId="0" fontId="5" fillId="0" borderId="11" xfId="0" applyFont="1" applyBorder="1" applyAlignment="1">
      <alignment wrapText="1"/>
    </xf>
    <xf numFmtId="3" fontId="5" fillId="0" borderId="24" xfId="0" applyNumberFormat="1" applyFont="1" applyFill="1" applyBorder="1"/>
    <xf numFmtId="0" fontId="5" fillId="0" borderId="3" xfId="0" applyFont="1" applyFill="1" applyBorder="1"/>
    <xf numFmtId="3" fontId="6" fillId="0" borderId="13" xfId="0" applyNumberFormat="1" applyFont="1" applyFill="1" applyBorder="1"/>
    <xf numFmtId="0" fontId="5" fillId="0" borderId="12" xfId="4" applyFont="1" applyBorder="1" applyAlignment="1">
      <alignment wrapText="1"/>
    </xf>
    <xf numFmtId="3" fontId="5" fillId="0" borderId="33" xfId="0" applyNumberFormat="1" applyFont="1" applyFill="1" applyBorder="1"/>
    <xf numFmtId="0" fontId="5" fillId="0" borderId="7" xfId="4" applyFont="1" applyFill="1" applyBorder="1" applyAlignment="1">
      <alignment wrapText="1"/>
    </xf>
    <xf numFmtId="0" fontId="5" fillId="0" borderId="34" xfId="0" applyFont="1" applyFill="1" applyBorder="1"/>
    <xf numFmtId="3" fontId="5" fillId="0" borderId="2" xfId="0" applyNumberFormat="1" applyFont="1" applyFill="1" applyBorder="1"/>
    <xf numFmtId="0" fontId="5" fillId="0" borderId="7" xfId="4" applyFont="1" applyBorder="1" applyAlignment="1">
      <alignment wrapText="1"/>
    </xf>
    <xf numFmtId="0" fontId="5" fillId="0" borderId="115" xfId="0" applyFont="1" applyBorder="1" applyAlignment="1">
      <alignment wrapText="1"/>
    </xf>
    <xf numFmtId="0" fontId="5" fillId="0" borderId="114" xfId="0" applyFont="1" applyFill="1" applyBorder="1"/>
    <xf numFmtId="3" fontId="5" fillId="0" borderId="49" xfId="0" applyNumberFormat="1" applyFont="1" applyFill="1" applyBorder="1"/>
    <xf numFmtId="0" fontId="5" fillId="0" borderId="7" xfId="4" applyFont="1" applyBorder="1" applyAlignment="1">
      <alignment horizontal="left" wrapText="1"/>
    </xf>
    <xf numFmtId="43" fontId="5" fillId="0" borderId="7" xfId="6" applyFont="1" applyBorder="1" applyAlignment="1">
      <alignment horizontal="left" wrapText="1"/>
    </xf>
    <xf numFmtId="0" fontId="5" fillId="0" borderId="7" xfId="0" applyFont="1" applyBorder="1" applyAlignment="1">
      <alignment horizontal="justify" vertical="center"/>
    </xf>
    <xf numFmtId="0" fontId="10" fillId="0" borderId="7" xfId="0" applyFont="1" applyBorder="1" applyAlignment="1">
      <alignment vertical="center"/>
    </xf>
    <xf numFmtId="0" fontId="5" fillId="0" borderId="11" xfId="4" applyFont="1" applyBorder="1" applyAlignment="1">
      <alignment horizontal="left" wrapText="1"/>
    </xf>
    <xf numFmtId="0" fontId="5" fillId="0" borderId="36" xfId="0" applyFont="1" applyFill="1" applyBorder="1"/>
    <xf numFmtId="3" fontId="5" fillId="0" borderId="37" xfId="0" applyNumberFormat="1" applyFont="1" applyFill="1" applyBorder="1"/>
    <xf numFmtId="0" fontId="5" fillId="0" borderId="30" xfId="0" applyFont="1" applyFill="1" applyBorder="1"/>
    <xf numFmtId="3" fontId="6" fillId="0" borderId="31" xfId="0" applyNumberFormat="1" applyFont="1" applyFill="1" applyBorder="1"/>
    <xf numFmtId="3" fontId="12" fillId="0" borderId="18" xfId="0" applyNumberFormat="1" applyFont="1" applyFill="1" applyBorder="1"/>
    <xf numFmtId="0" fontId="10" fillId="0" borderId="79" xfId="0" applyFont="1" applyBorder="1" applyAlignment="1">
      <alignment wrapText="1"/>
    </xf>
    <xf numFmtId="3" fontId="11" fillId="0" borderId="96" xfId="0" applyNumberFormat="1" applyFont="1" applyBorder="1"/>
    <xf numFmtId="0" fontId="10" fillId="4" borderId="22" xfId="0" applyFont="1" applyFill="1" applyBorder="1" applyAlignment="1">
      <alignment horizontal="left" wrapText="1"/>
    </xf>
    <xf numFmtId="0" fontId="10" fillId="4" borderId="22" xfId="0" applyFont="1" applyFill="1" applyBorder="1" applyAlignment="1">
      <alignment horizontal="left"/>
    </xf>
    <xf numFmtId="3" fontId="86" fillId="0" borderId="0" xfId="0" applyNumberFormat="1" applyFont="1" applyFill="1" applyBorder="1"/>
    <xf numFmtId="0" fontId="68" fillId="0" borderId="0" xfId="0" applyFont="1" applyBorder="1"/>
    <xf numFmtId="0" fontId="5" fillId="0" borderId="1" xfId="4" applyFont="1" applyFill="1" applyBorder="1" applyAlignment="1">
      <alignment horizontal="left" wrapText="1"/>
    </xf>
    <xf numFmtId="3" fontId="5" fillId="0" borderId="34" xfId="2" applyNumberFormat="1" applyFont="1" applyFill="1" applyBorder="1"/>
    <xf numFmtId="0" fontId="111" fillId="0" borderId="0" xfId="0" applyFont="1" applyFill="1" applyBorder="1"/>
    <xf numFmtId="0" fontId="111" fillId="0" borderId="0" xfId="0" applyFont="1" applyBorder="1"/>
    <xf numFmtId="0" fontId="112" fillId="0" borderId="0" xfId="0" applyFont="1" applyBorder="1"/>
    <xf numFmtId="3" fontId="6" fillId="0" borderId="76" xfId="2" applyNumberFormat="1" applyFont="1" applyBorder="1"/>
    <xf numFmtId="3" fontId="6" fillId="0" borderId="56" xfId="2" applyNumberFormat="1" applyFont="1" applyBorder="1"/>
    <xf numFmtId="0" fontId="10" fillId="0" borderId="70" xfId="2" applyFont="1" applyBorder="1" applyAlignment="1">
      <alignment horizontal="center" wrapText="1"/>
    </xf>
    <xf numFmtId="3" fontId="5" fillId="0" borderId="65" xfId="2" applyNumberFormat="1" applyFont="1" applyBorder="1"/>
    <xf numFmtId="3" fontId="6" fillId="0" borderId="18" xfId="2" applyNumberFormat="1" applyFont="1" applyBorder="1"/>
    <xf numFmtId="3" fontId="6" fillId="0" borderId="7" xfId="2" applyNumberFormat="1" applyFont="1" applyBorder="1"/>
    <xf numFmtId="3" fontId="6" fillId="0" borderId="12" xfId="2" applyNumberFormat="1" applyFont="1" applyBorder="1"/>
    <xf numFmtId="3" fontId="6" fillId="0" borderId="95" xfId="2" applyNumberFormat="1" applyFont="1" applyBorder="1"/>
    <xf numFmtId="49" fontId="16" fillId="0" borderId="54" xfId="2" applyNumberFormat="1" applyFont="1" applyBorder="1" applyAlignment="1">
      <alignment horizontal="center"/>
    </xf>
    <xf numFmtId="0" fontId="6" fillId="0" borderId="117" xfId="0" applyFont="1" applyBorder="1"/>
    <xf numFmtId="0" fontId="5" fillId="0" borderId="4" xfId="0" applyFont="1" applyFill="1" applyBorder="1" applyAlignment="1">
      <alignment horizontal="right" wrapText="1"/>
    </xf>
    <xf numFmtId="0" fontId="5" fillId="0" borderId="12" xfId="0" applyFont="1" applyBorder="1" applyAlignment="1">
      <alignment horizontal="left" vertical="center" wrapText="1"/>
    </xf>
    <xf numFmtId="3" fontId="5" fillId="0" borderId="23" xfId="0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/>
    </xf>
    <xf numFmtId="0" fontId="90" fillId="0" borderId="0" xfId="0" applyFont="1" applyFill="1" applyAlignment="1">
      <alignment horizontal="center" wrapText="1"/>
    </xf>
    <xf numFmtId="0" fontId="10" fillId="0" borderId="0" xfId="3" applyFont="1" applyAlignment="1">
      <alignment horizontal="left"/>
    </xf>
    <xf numFmtId="3" fontId="5" fillId="0" borderId="0" xfId="2" applyNumberFormat="1" applyFont="1" applyFill="1" applyAlignment="1">
      <alignment horizontal="left"/>
    </xf>
    <xf numFmtId="0" fontId="20" fillId="0" borderId="0" xfId="0" applyFont="1" applyAlignment="1">
      <alignment horizontal="right" wrapText="1"/>
    </xf>
    <xf numFmtId="0" fontId="17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49" fontId="40" fillId="0" borderId="0" xfId="2" applyNumberFormat="1" applyFont="1" applyAlignment="1">
      <alignment horizontal="right"/>
    </xf>
    <xf numFmtId="0" fontId="10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17" fillId="0" borderId="10" xfId="0" applyFont="1" applyFill="1" applyBorder="1" applyAlignment="1">
      <alignment wrapText="1"/>
    </xf>
    <xf numFmtId="0" fontId="17" fillId="0" borderId="1" xfId="0" applyFont="1" applyFill="1" applyBorder="1" applyAlignment="1">
      <alignment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wrapText="1"/>
    </xf>
    <xf numFmtId="0" fontId="21" fillId="0" borderId="1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wrapText="1"/>
    </xf>
    <xf numFmtId="0" fontId="21" fillId="3" borderId="1" xfId="0" applyFont="1" applyFill="1" applyBorder="1" applyAlignment="1">
      <alignment wrapText="1"/>
    </xf>
    <xf numFmtId="0" fontId="5" fillId="3" borderId="1" xfId="0" applyFont="1" applyFill="1" applyBorder="1"/>
    <xf numFmtId="0" fontId="17" fillId="0" borderId="25" xfId="0" applyFont="1" applyFill="1" applyBorder="1" applyAlignment="1">
      <alignment wrapText="1"/>
    </xf>
    <xf numFmtId="0" fontId="17" fillId="0" borderId="4" xfId="0" applyFont="1" applyFill="1" applyBorder="1" applyAlignment="1">
      <alignment wrapText="1"/>
    </xf>
    <xf numFmtId="3" fontId="17" fillId="0" borderId="1" xfId="0" applyNumberFormat="1" applyFont="1" applyFill="1" applyBorder="1" applyAlignment="1">
      <alignment wrapText="1"/>
    </xf>
    <xf numFmtId="0" fontId="21" fillId="3" borderId="10" xfId="0" applyFont="1" applyFill="1" applyBorder="1" applyAlignment="1">
      <alignment wrapText="1"/>
    </xf>
    <xf numFmtId="3" fontId="21" fillId="3" borderId="1" xfId="0" applyNumberFormat="1" applyFont="1" applyFill="1" applyBorder="1" applyAlignment="1">
      <alignment wrapText="1"/>
    </xf>
    <xf numFmtId="3" fontId="17" fillId="3" borderId="1" xfId="0" applyNumberFormat="1" applyFont="1" applyFill="1" applyBorder="1" applyAlignment="1">
      <alignment wrapText="1"/>
    </xf>
    <xf numFmtId="0" fontId="21" fillId="3" borderId="10" xfId="0" applyFont="1" applyFill="1" applyBorder="1" applyAlignment="1">
      <alignment horizontal="left" vertical="center" wrapText="1"/>
    </xf>
    <xf numFmtId="3" fontId="21" fillId="3" borderId="1" xfId="0" applyNumberFormat="1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wrapText="1"/>
    </xf>
    <xf numFmtId="3" fontId="21" fillId="0" borderId="1" xfId="0" applyNumberFormat="1" applyFont="1" applyFill="1" applyBorder="1" applyAlignment="1">
      <alignment wrapText="1"/>
    </xf>
    <xf numFmtId="3" fontId="21" fillId="0" borderId="1" xfId="0" applyNumberFormat="1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wrapText="1"/>
    </xf>
    <xf numFmtId="3" fontId="17" fillId="0" borderId="34" xfId="0" applyNumberFormat="1" applyFont="1" applyFill="1" applyBorder="1" applyAlignment="1">
      <alignment wrapText="1"/>
    </xf>
    <xf numFmtId="0" fontId="17" fillId="0" borderId="38" xfId="0" applyFont="1" applyFill="1" applyBorder="1" applyAlignment="1">
      <alignment horizontal="left" wrapText="1"/>
    </xf>
    <xf numFmtId="3" fontId="17" fillId="0" borderId="1" xfId="0" applyNumberFormat="1" applyFont="1" applyFill="1" applyBorder="1" applyAlignment="1">
      <alignment horizontal="right" wrapText="1"/>
    </xf>
    <xf numFmtId="0" fontId="5" fillId="0" borderId="10" xfId="0" applyFont="1" applyFill="1" applyBorder="1" applyAlignment="1">
      <alignment wrapText="1"/>
    </xf>
    <xf numFmtId="0" fontId="21" fillId="0" borderId="1" xfId="0" applyFont="1" applyFill="1" applyBorder="1" applyAlignment="1">
      <alignment horizontal="right" wrapText="1"/>
    </xf>
    <xf numFmtId="3" fontId="21" fillId="0" borderId="1" xfId="0" applyNumberFormat="1" applyFont="1" applyFill="1" applyBorder="1" applyAlignment="1">
      <alignment horizontal="right" wrapText="1"/>
    </xf>
    <xf numFmtId="0" fontId="39" fillId="0" borderId="0" xfId="0" applyFont="1" applyFill="1"/>
    <xf numFmtId="0" fontId="87" fillId="0" borderId="0" xfId="0" applyFont="1" applyFill="1"/>
    <xf numFmtId="0" fontId="1" fillId="0" borderId="0" xfId="0" applyFont="1" applyFill="1"/>
    <xf numFmtId="49" fontId="40" fillId="0" borderId="0" xfId="2" applyNumberFormat="1" applyFont="1" applyFill="1" applyAlignment="1">
      <alignment horizontal="center"/>
    </xf>
    <xf numFmtId="1" fontId="3" fillId="0" borderId="25" xfId="2" applyNumberFormat="1" applyFont="1" applyFill="1" applyBorder="1"/>
    <xf numFmtId="1" fontId="3" fillId="0" borderId="4" xfId="2" applyNumberFormat="1" applyFont="1" applyFill="1" applyBorder="1"/>
    <xf numFmtId="1" fontId="3" fillId="0" borderId="23" xfId="2" applyNumberFormat="1" applyFont="1" applyFill="1" applyBorder="1"/>
    <xf numFmtId="1" fontId="3" fillId="0" borderId="10" xfId="2" applyNumberFormat="1" applyFont="1" applyFill="1" applyBorder="1"/>
    <xf numFmtId="1" fontId="3" fillId="0" borderId="5" xfId="2" applyNumberFormat="1" applyFont="1" applyFill="1" applyBorder="1"/>
    <xf numFmtId="1" fontId="40" fillId="0" borderId="10" xfId="2" applyNumberFormat="1" applyFont="1" applyFill="1" applyBorder="1"/>
    <xf numFmtId="1" fontId="40" fillId="0" borderId="1" xfId="2" applyNumberFormat="1" applyFont="1" applyFill="1" applyBorder="1"/>
    <xf numFmtId="1" fontId="40" fillId="0" borderId="5" xfId="2" applyNumberFormat="1" applyFont="1" applyFill="1" applyBorder="1"/>
    <xf numFmtId="1" fontId="40" fillId="0" borderId="25" xfId="2" applyNumberFormat="1" applyFont="1" applyFill="1" applyBorder="1"/>
    <xf numFmtId="1" fontId="40" fillId="0" borderId="32" xfId="2" applyNumberFormat="1" applyFont="1" applyFill="1" applyBorder="1"/>
    <xf numFmtId="1" fontId="40" fillId="0" borderId="73" xfId="2" applyNumberFormat="1" applyFont="1" applyFill="1" applyBorder="1"/>
    <xf numFmtId="1" fontId="40" fillId="0" borderId="23" xfId="2" applyNumberFormat="1" applyFont="1" applyFill="1" applyBorder="1"/>
    <xf numFmtId="1" fontId="29" fillId="0" borderId="18" xfId="2" applyNumberFormat="1" applyFont="1" applyFill="1" applyBorder="1"/>
    <xf numFmtId="1" fontId="107" fillId="0" borderId="17" xfId="2" applyNumberFormat="1" applyFont="1" applyFill="1" applyBorder="1"/>
    <xf numFmtId="1" fontId="40" fillId="0" borderId="70" xfId="2" applyNumberFormat="1" applyFont="1" applyFill="1" applyBorder="1" applyAlignment="1">
      <alignment horizontal="center" wrapText="1"/>
    </xf>
    <xf numFmtId="1" fontId="40" fillId="0" borderId="3" xfId="2" applyNumberFormat="1" applyFont="1" applyFill="1" applyBorder="1" applyAlignment="1">
      <alignment horizontal="center" wrapText="1"/>
    </xf>
    <xf numFmtId="1" fontId="40" fillId="0" borderId="13" xfId="2" applyNumberFormat="1" applyFont="1" applyFill="1" applyBorder="1" applyAlignment="1">
      <alignment horizontal="center" wrapText="1"/>
    </xf>
    <xf numFmtId="1" fontId="42" fillId="0" borderId="99" xfId="2" applyNumberFormat="1" applyFont="1" applyFill="1" applyBorder="1"/>
    <xf numFmtId="1" fontId="42" fillId="0" borderId="73" xfId="2" applyNumberFormat="1" applyFont="1" applyFill="1" applyBorder="1"/>
    <xf numFmtId="1" fontId="41" fillId="0" borderId="73" xfId="2" applyNumberFormat="1" applyFont="1" applyFill="1" applyBorder="1"/>
    <xf numFmtId="1" fontId="41" fillId="0" borderId="77" xfId="2" applyNumberFormat="1" applyFont="1" applyFill="1" applyBorder="1"/>
    <xf numFmtId="0" fontId="3" fillId="0" borderId="7" xfId="2" applyFont="1" applyFill="1" applyBorder="1" applyAlignment="1">
      <alignment horizontal="right"/>
    </xf>
    <xf numFmtId="3" fontId="5" fillId="0" borderId="76" xfId="2" applyNumberFormat="1" applyFont="1" applyFill="1" applyBorder="1"/>
    <xf numFmtId="3" fontId="5" fillId="0" borderId="25" xfId="2" applyNumberFormat="1" applyFont="1" applyFill="1" applyBorder="1"/>
    <xf numFmtId="0" fontId="109" fillId="0" borderId="73" xfId="0" applyFont="1" applyFill="1" applyBorder="1" applyAlignment="1">
      <alignment horizontal="center" wrapText="1"/>
    </xf>
    <xf numFmtId="0" fontId="109" fillId="0" borderId="73" xfId="0" applyFont="1" applyFill="1" applyBorder="1" applyAlignment="1">
      <alignment wrapText="1"/>
    </xf>
    <xf numFmtId="0" fontId="40" fillId="0" borderId="73" xfId="2" applyFont="1" applyFill="1" applyBorder="1" applyAlignment="1">
      <alignment horizontal="center" wrapText="1"/>
    </xf>
    <xf numFmtId="0" fontId="110" fillId="0" borderId="73" xfId="0" applyFont="1" applyFill="1" applyBorder="1" applyAlignment="1">
      <alignment wrapText="1"/>
    </xf>
    <xf numFmtId="0" fontId="16" fillId="0" borderId="90" xfId="4" applyFont="1" applyFill="1" applyBorder="1" applyAlignment="1">
      <alignment wrapText="1"/>
    </xf>
    <xf numFmtId="0" fontId="16" fillId="0" borderId="73" xfId="4" applyFont="1" applyFill="1" applyBorder="1" applyAlignment="1">
      <alignment wrapText="1"/>
    </xf>
    <xf numFmtId="0" fontId="16" fillId="0" borderId="26" xfId="4" applyFont="1" applyFill="1" applyBorder="1" applyAlignment="1">
      <alignment wrapText="1"/>
    </xf>
    <xf numFmtId="0" fontId="16" fillId="0" borderId="0" xfId="4" applyFont="1" applyFill="1"/>
    <xf numFmtId="0" fontId="5" fillId="0" borderId="16" xfId="2" applyFont="1" applyFill="1" applyBorder="1" applyAlignment="1">
      <alignment horizontal="center" wrapText="1"/>
    </xf>
    <xf numFmtId="0" fontId="5" fillId="0" borderId="90" xfId="2" applyFont="1" applyFill="1" applyBorder="1" applyAlignment="1">
      <alignment horizontal="center" wrapText="1"/>
    </xf>
    <xf numFmtId="0" fontId="5" fillId="0" borderId="88" xfId="2" applyFont="1" applyFill="1" applyBorder="1" applyAlignment="1">
      <alignment horizontal="center" wrapText="1"/>
    </xf>
    <xf numFmtId="0" fontId="5" fillId="0" borderId="15" xfId="2" applyFont="1" applyFill="1" applyBorder="1" applyAlignment="1">
      <alignment horizontal="center" wrapText="1"/>
    </xf>
    <xf numFmtId="0" fontId="5" fillId="0" borderId="69" xfId="2" applyFont="1" applyFill="1" applyBorder="1" applyAlignment="1">
      <alignment horizontal="center" wrapText="1"/>
    </xf>
    <xf numFmtId="0" fontId="5" fillId="0" borderId="80" xfId="2" applyFont="1" applyFill="1" applyBorder="1" applyAlignment="1">
      <alignment horizontal="center" wrapText="1"/>
    </xf>
    <xf numFmtId="0" fontId="5" fillId="0" borderId="97" xfId="2" applyFont="1" applyFill="1" applyBorder="1" applyAlignment="1">
      <alignment horizontal="center" wrapText="1"/>
    </xf>
    <xf numFmtId="0" fontId="6" fillId="0" borderId="4" xfId="2" applyFont="1" applyFill="1" applyBorder="1" applyAlignment="1">
      <alignment wrapText="1"/>
    </xf>
    <xf numFmtId="0" fontId="5" fillId="0" borderId="54" xfId="2" applyFont="1" applyFill="1" applyBorder="1" applyAlignment="1">
      <alignment wrapText="1"/>
    </xf>
    <xf numFmtId="0" fontId="5" fillId="0" borderId="4" xfId="2" applyFont="1" applyFill="1" applyBorder="1" applyAlignment="1">
      <alignment wrapText="1"/>
    </xf>
    <xf numFmtId="0" fontId="7" fillId="0" borderId="4" xfId="2" applyFont="1" applyFill="1" applyBorder="1" applyAlignment="1">
      <alignment wrapText="1"/>
    </xf>
    <xf numFmtId="0" fontId="7" fillId="0" borderId="25" xfId="2" applyFont="1" applyFill="1" applyBorder="1" applyAlignment="1">
      <alignment wrapText="1"/>
    </xf>
    <xf numFmtId="0" fontId="5" fillId="0" borderId="4" xfId="2" applyFont="1" applyFill="1" applyBorder="1"/>
    <xf numFmtId="0" fontId="5" fillId="0" borderId="32" xfId="2" applyFont="1" applyFill="1" applyBorder="1"/>
    <xf numFmtId="0" fontId="7" fillId="0" borderId="23" xfId="2" applyFont="1" applyFill="1" applyBorder="1" applyAlignment="1">
      <alignment wrapText="1"/>
    </xf>
    <xf numFmtId="3" fontId="5" fillId="0" borderId="5" xfId="2" applyNumberFormat="1" applyFont="1" applyFill="1" applyBorder="1" applyAlignment="1">
      <alignment wrapText="1"/>
    </xf>
    <xf numFmtId="3" fontId="17" fillId="0" borderId="34" xfId="2" applyNumberFormat="1" applyFont="1" applyFill="1" applyBorder="1"/>
    <xf numFmtId="3" fontId="17" fillId="0" borderId="34" xfId="2" applyNumberFormat="1" applyFont="1" applyFill="1" applyBorder="1" applyAlignment="1">
      <alignment wrapText="1"/>
    </xf>
    <xf numFmtId="3" fontId="17" fillId="0" borderId="5" xfId="2" applyNumberFormat="1" applyFont="1" applyFill="1" applyBorder="1" applyAlignment="1">
      <alignment wrapText="1"/>
    </xf>
    <xf numFmtId="3" fontId="17" fillId="0" borderId="10" xfId="2" applyNumberFormat="1" applyFont="1" applyFill="1" applyBorder="1" applyAlignment="1">
      <alignment wrapText="1"/>
    </xf>
    <xf numFmtId="3" fontId="17" fillId="0" borderId="22" xfId="2" applyNumberFormat="1" applyFont="1" applyFill="1" applyBorder="1" applyAlignment="1">
      <alignment wrapText="1"/>
    </xf>
    <xf numFmtId="3" fontId="5" fillId="0" borderId="38" xfId="2" applyNumberFormat="1" applyFont="1" applyFill="1" applyBorder="1" applyAlignment="1">
      <alignment wrapText="1"/>
    </xf>
    <xf numFmtId="3" fontId="5" fillId="0" borderId="22" xfId="2" applyNumberFormat="1" applyFont="1" applyFill="1" applyBorder="1"/>
    <xf numFmtId="3" fontId="5" fillId="0" borderId="36" xfId="2" applyNumberFormat="1" applyFont="1" applyFill="1" applyBorder="1"/>
    <xf numFmtId="3" fontId="5" fillId="0" borderId="24" xfId="2" applyNumberFormat="1" applyFont="1" applyFill="1" applyBorder="1" applyAlignment="1">
      <alignment wrapText="1"/>
    </xf>
    <xf numFmtId="49" fontId="40" fillId="0" borderId="54" xfId="2" applyNumberFormat="1" applyFont="1" applyFill="1" applyBorder="1"/>
    <xf numFmtId="49" fontId="40" fillId="0" borderId="54" xfId="2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left" wrapText="1"/>
    </xf>
    <xf numFmtId="0" fontId="113" fillId="0" borderId="0" xfId="0" applyFont="1" applyAlignment="1">
      <alignment wrapText="1"/>
    </xf>
    <xf numFmtId="0" fontId="114" fillId="0" borderId="0" xfId="0" applyFont="1" applyAlignment="1">
      <alignment wrapText="1"/>
    </xf>
    <xf numFmtId="0" fontId="113" fillId="0" borderId="0" xfId="0" applyFont="1"/>
    <xf numFmtId="0" fontId="6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5" fillId="0" borderId="0" xfId="0" applyFont="1" applyBorder="1" applyAlignment="1">
      <alignment horizontal="left" wrapText="1"/>
    </xf>
    <xf numFmtId="0" fontId="6" fillId="0" borderId="87" xfId="2" applyFont="1" applyBorder="1" applyAlignment="1">
      <alignment horizontal="center"/>
    </xf>
    <xf numFmtId="0" fontId="6" fillId="0" borderId="74" xfId="2" applyFont="1" applyBorder="1" applyAlignment="1">
      <alignment horizontal="center"/>
    </xf>
    <xf numFmtId="0" fontId="15" fillId="0" borderId="94" xfId="2" applyFont="1" applyBorder="1" applyAlignment="1">
      <alignment horizontal="center" vertical="center" wrapText="1"/>
    </xf>
    <xf numFmtId="0" fontId="15" fillId="0" borderId="116" xfId="2" applyFont="1" applyBorder="1" applyAlignment="1">
      <alignment horizontal="center" vertical="center" wrapText="1"/>
    </xf>
    <xf numFmtId="0" fontId="15" fillId="0" borderId="99" xfId="2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15" fillId="0" borderId="0" xfId="0" applyFont="1" applyFill="1" applyBorder="1" applyAlignment="1">
      <alignment horizontal="center" wrapText="1"/>
    </xf>
    <xf numFmtId="0" fontId="14" fillId="0" borderId="26" xfId="0" applyFont="1" applyBorder="1" applyAlignment="1">
      <alignment horizontal="center" wrapText="1"/>
    </xf>
    <xf numFmtId="0" fontId="22" fillId="0" borderId="26" xfId="0" applyFont="1" applyFill="1" applyBorder="1" applyAlignment="1">
      <alignment horizontal="center" wrapText="1"/>
    </xf>
    <xf numFmtId="0" fontId="4" fillId="0" borderId="26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4" fillId="0" borderId="26" xfId="0" applyFont="1" applyFill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21" fillId="0" borderId="0" xfId="0" applyFont="1" applyFill="1" applyAlignment="1">
      <alignment horizontal="center" wrapText="1"/>
    </xf>
    <xf numFmtId="0" fontId="10" fillId="0" borderId="0" xfId="3" applyFont="1" applyAlignment="1">
      <alignment horizontal="left"/>
    </xf>
    <xf numFmtId="0" fontId="12" fillId="0" borderId="0" xfId="3" applyFont="1" applyAlignment="1">
      <alignment horizontal="left" vertical="center" wrapText="1"/>
    </xf>
    <xf numFmtId="0" fontId="13" fillId="0" borderId="0" xfId="3" applyFont="1" applyAlignment="1">
      <alignment horizontal="left"/>
    </xf>
    <xf numFmtId="0" fontId="6" fillId="0" borderId="0" xfId="0" applyFont="1" applyFill="1" applyAlignment="1">
      <alignment horizontal="center" wrapText="1"/>
    </xf>
  </cellXfs>
  <cellStyles count="7">
    <cellStyle name="Komats" xfId="6" builtinId="3"/>
    <cellStyle name="Normal 2" xfId="1"/>
    <cellStyle name="Normal_PROJEKTI_2016_PLĀNS_Aija un Inese" xfId="2"/>
    <cellStyle name="Normal_Sporta klubi 2012_081002" xfId="3"/>
    <cellStyle name="Parasts" xfId="0" builtinId="0"/>
    <cellStyle name="Parasts 2" xfId="4"/>
    <cellStyle name="Parasts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Dzedzele\AppData\Local\Microsoft\Windows\INetCache\Content.Outlook\QR7GFUIT\2020.g.%20iest&#257;&#382;u%20piepras&#299;jumu%20t&#257;m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I"/>
      <sheetName val="Skolas"/>
      <sheetName val="Māksl."/>
      <sheetName val="Sp.centrs"/>
      <sheetName val="Kult.iest."/>
      <sheetName val="Kultūras aktivit."/>
      <sheetName val="Polic."/>
      <sheetName val="Soc.aizsar."/>
      <sheetName val="Lapa1"/>
      <sheetName val="ES proj."/>
      <sheetName val="Pašv.proj."/>
      <sheetName val="Izglīt. un soc. proj."/>
      <sheetName val="Izpildvara"/>
      <sheetName val="Būvvalde"/>
      <sheetName val="Tautsaimn."/>
      <sheetName val="Finans. PA"/>
      <sheetName val="Finans. SIA"/>
      <sheetName val="Tauts.atšifr."/>
      <sheetName val="SP.komandu atb."/>
      <sheetName val="Pārējās dažādas funkc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9">
          <cell r="C9">
            <v>3200</v>
          </cell>
        </row>
        <row r="12">
          <cell r="C12">
            <v>3200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zoomScaleNormal="100" workbookViewId="0">
      <pane xSplit="3" ySplit="9" topLeftCell="D10" activePane="bottomRight" state="frozen"/>
      <selection pane="topRight" activeCell="E1" sqref="E1"/>
      <selection pane="bottomLeft" activeCell="A9" sqref="A9"/>
      <selection pane="bottomRight" activeCell="M30" sqref="M30"/>
    </sheetView>
  </sheetViews>
  <sheetFormatPr defaultColWidth="9.140625" defaultRowHeight="15" x14ac:dyDescent="0.25"/>
  <cols>
    <col min="1" max="1" width="6.85546875" style="1" customWidth="1"/>
    <col min="2" max="2" width="48.28515625" style="1" customWidth="1"/>
    <col min="3" max="3" width="9.7109375" style="1" customWidth="1"/>
    <col min="4" max="4" width="8.42578125" style="1" customWidth="1"/>
    <col min="5" max="5" width="9.5703125" style="1" customWidth="1"/>
    <col min="6" max="6" width="9.42578125" style="1" customWidth="1"/>
    <col min="7" max="8" width="8.5703125" style="1" customWidth="1"/>
    <col min="9" max="9" width="9" style="1" customWidth="1"/>
    <col min="10" max="10" width="9.140625" style="1" customWidth="1"/>
    <col min="11" max="11" width="9.85546875" style="1" bestFit="1" customWidth="1"/>
    <col min="12" max="16384" width="9.140625" style="1"/>
  </cols>
  <sheetData>
    <row r="1" spans="1:12" x14ac:dyDescent="0.25">
      <c r="H1" s="1" t="s">
        <v>572</v>
      </c>
    </row>
    <row r="2" spans="1:12" x14ac:dyDescent="0.25">
      <c r="B2" s="2" t="s">
        <v>0</v>
      </c>
    </row>
    <row r="4" spans="1:12" x14ac:dyDescent="0.25">
      <c r="A4" s="1021" t="s">
        <v>115</v>
      </c>
      <c r="B4" s="1021"/>
      <c r="C4" s="1021"/>
      <c r="I4" s="6"/>
      <c r="J4" s="6"/>
    </row>
    <row r="5" spans="1:12" x14ac:dyDescent="0.25">
      <c r="B5" s="3" t="s">
        <v>455</v>
      </c>
    </row>
    <row r="6" spans="1:12" x14ac:dyDescent="0.25">
      <c r="A6" s="3" t="s">
        <v>107</v>
      </c>
    </row>
    <row r="7" spans="1:12" x14ac:dyDescent="0.25">
      <c r="A7" s="3"/>
      <c r="D7" s="60" t="s">
        <v>88</v>
      </c>
      <c r="E7" s="60" t="s">
        <v>89</v>
      </c>
      <c r="F7" s="60" t="s">
        <v>90</v>
      </c>
      <c r="G7" s="60" t="s">
        <v>91</v>
      </c>
      <c r="H7" s="60" t="s">
        <v>92</v>
      </c>
      <c r="I7" s="60" t="s">
        <v>93</v>
      </c>
      <c r="J7" s="60" t="s">
        <v>94</v>
      </c>
      <c r="K7" s="60"/>
    </row>
    <row r="8" spans="1:12" ht="15.75" thickBot="1" x14ac:dyDescent="0.3">
      <c r="A8" s="4"/>
      <c r="B8" s="4"/>
      <c r="D8" s="6" t="s">
        <v>1</v>
      </c>
      <c r="E8" s="1" t="s">
        <v>2</v>
      </c>
      <c r="F8" s="1" t="s">
        <v>3</v>
      </c>
      <c r="G8" s="1" t="s">
        <v>4</v>
      </c>
      <c r="H8" s="6" t="s">
        <v>5</v>
      </c>
      <c r="I8" s="1" t="s">
        <v>6</v>
      </c>
      <c r="J8" s="61" t="s">
        <v>73</v>
      </c>
      <c r="K8" s="58"/>
    </row>
    <row r="9" spans="1:12" ht="33.75" customHeight="1" thickBot="1" x14ac:dyDescent="0.35">
      <c r="A9" s="62" t="s">
        <v>7</v>
      </c>
      <c r="B9" s="63" t="s">
        <v>10</v>
      </c>
      <c r="C9" s="64" t="s">
        <v>34</v>
      </c>
      <c r="D9" s="65" t="s">
        <v>456</v>
      </c>
      <c r="E9" s="65" t="s">
        <v>456</v>
      </c>
      <c r="F9" s="65" t="s">
        <v>456</v>
      </c>
      <c r="G9" s="65" t="s">
        <v>456</v>
      </c>
      <c r="H9" s="65" t="s">
        <v>456</v>
      </c>
      <c r="I9" s="65" t="s">
        <v>456</v>
      </c>
      <c r="J9" s="65" t="s">
        <v>456</v>
      </c>
    </row>
    <row r="10" spans="1:12" x14ac:dyDescent="0.25">
      <c r="A10" s="66">
        <v>1100</v>
      </c>
      <c r="B10" s="67" t="s">
        <v>11</v>
      </c>
      <c r="C10" s="68">
        <f>SUM(D10:J10)</f>
        <v>2641596</v>
      </c>
      <c r="D10" s="406">
        <v>506663</v>
      </c>
      <c r="E10" s="407">
        <v>364314</v>
      </c>
      <c r="F10" s="407">
        <v>369234</v>
      </c>
      <c r="G10" s="409">
        <v>431429</v>
      </c>
      <c r="H10" s="410">
        <v>218156</v>
      </c>
      <c r="I10" s="410">
        <v>490659</v>
      </c>
      <c r="J10" s="408">
        <f>260129+1012</f>
        <v>261141</v>
      </c>
    </row>
    <row r="11" spans="1:12" ht="30" x14ac:dyDescent="0.25">
      <c r="A11" s="71">
        <v>1200</v>
      </c>
      <c r="B11" s="72" t="s">
        <v>12</v>
      </c>
      <c r="C11" s="73">
        <f>SUM(D11:J11)</f>
        <v>797421</v>
      </c>
      <c r="D11" s="411">
        <v>149468</v>
      </c>
      <c r="E11" s="75">
        <v>112098</v>
      </c>
      <c r="F11" s="75">
        <v>110710</v>
      </c>
      <c r="G11" s="75">
        <v>133598</v>
      </c>
      <c r="H11" s="412">
        <v>69536</v>
      </c>
      <c r="I11" s="75">
        <v>145520</v>
      </c>
      <c r="J11" s="204">
        <f>76252+239</f>
        <v>76491</v>
      </c>
      <c r="L11" s="77"/>
    </row>
    <row r="12" spans="1:12" x14ac:dyDescent="0.25">
      <c r="A12" s="71">
        <v>2000</v>
      </c>
      <c r="B12" s="78" t="s">
        <v>13</v>
      </c>
      <c r="C12" s="73">
        <f>SUM(C13:C17)</f>
        <v>520248</v>
      </c>
      <c r="D12" s="75">
        <f t="shared" ref="D12:J12" si="0">SUM(D13:D17)</f>
        <v>107037</v>
      </c>
      <c r="E12" s="75">
        <f t="shared" si="0"/>
        <v>79987</v>
      </c>
      <c r="F12" s="75">
        <f t="shared" si="0"/>
        <v>68014</v>
      </c>
      <c r="G12" s="75">
        <f t="shared" si="0"/>
        <v>85236</v>
      </c>
      <c r="H12" s="75">
        <f>SUM(H13:H17)</f>
        <v>67854</v>
      </c>
      <c r="I12" s="75">
        <f t="shared" si="0"/>
        <v>75815</v>
      </c>
      <c r="J12" s="76">
        <f t="shared" si="0"/>
        <v>36305</v>
      </c>
    </row>
    <row r="13" spans="1:12" x14ac:dyDescent="0.25">
      <c r="A13" s="71">
        <v>2100</v>
      </c>
      <c r="B13" s="78" t="s">
        <v>14</v>
      </c>
      <c r="C13" s="73">
        <f t="shared" ref="C13:C21" si="1">SUM(D13:J13)</f>
        <v>0</v>
      </c>
      <c r="D13" s="84"/>
      <c r="E13" s="84"/>
      <c r="F13" s="84"/>
      <c r="G13" s="75"/>
      <c r="H13" s="84"/>
      <c r="I13" s="84"/>
      <c r="J13" s="85"/>
    </row>
    <row r="14" spans="1:12" x14ac:dyDescent="0.25">
      <c r="A14" s="71">
        <v>2200</v>
      </c>
      <c r="B14" s="78" t="s">
        <v>15</v>
      </c>
      <c r="C14" s="81">
        <f t="shared" si="1"/>
        <v>403431</v>
      </c>
      <c r="D14" s="84">
        <v>78440</v>
      </c>
      <c r="E14" s="84">
        <v>54680</v>
      </c>
      <c r="F14" s="84">
        <f>51600+3000</f>
        <v>54600</v>
      </c>
      <c r="G14" s="75">
        <v>74690</v>
      </c>
      <c r="H14" s="84">
        <v>53024</v>
      </c>
      <c r="I14" s="84">
        <v>59107</v>
      </c>
      <c r="J14" s="85">
        <v>28890</v>
      </c>
    </row>
    <row r="15" spans="1:12" ht="30" x14ac:dyDescent="0.25">
      <c r="A15" s="71">
        <v>2300</v>
      </c>
      <c r="B15" s="72" t="s">
        <v>16</v>
      </c>
      <c r="C15" s="81">
        <f t="shared" si="1"/>
        <v>116817</v>
      </c>
      <c r="D15" s="84">
        <f>25262+2693+642</f>
        <v>28597</v>
      </c>
      <c r="E15" s="84">
        <f>23360+1572+375</f>
        <v>25307</v>
      </c>
      <c r="F15" s="84">
        <f>11020+1933+461</f>
        <v>13414</v>
      </c>
      <c r="G15" s="75">
        <f>7436+2511+599</f>
        <v>10546</v>
      </c>
      <c r="H15" s="84">
        <f>13712+903+215</f>
        <v>14830</v>
      </c>
      <c r="I15" s="84">
        <f>14336+1915+457</f>
        <v>16708</v>
      </c>
      <c r="J15" s="85">
        <f>6386+831+198</f>
        <v>7415</v>
      </c>
    </row>
    <row r="16" spans="1:12" x14ac:dyDescent="0.25">
      <c r="A16" s="71">
        <v>2400</v>
      </c>
      <c r="B16" s="82" t="s">
        <v>61</v>
      </c>
      <c r="C16" s="81">
        <f t="shared" si="1"/>
        <v>0</v>
      </c>
      <c r="D16" s="84"/>
      <c r="E16" s="84"/>
      <c r="F16" s="84"/>
      <c r="G16" s="75"/>
      <c r="H16" s="84"/>
      <c r="I16" s="84"/>
      <c r="J16" s="85" t="s">
        <v>291</v>
      </c>
    </row>
    <row r="17" spans="1:10" x14ac:dyDescent="0.25">
      <c r="A17" s="71">
        <v>2500</v>
      </c>
      <c r="B17" s="78" t="s">
        <v>17</v>
      </c>
      <c r="C17" s="81">
        <f t="shared" si="1"/>
        <v>0</v>
      </c>
      <c r="D17" s="84"/>
      <c r="E17" s="84"/>
      <c r="F17" s="84"/>
      <c r="G17" s="75"/>
      <c r="H17" s="84"/>
      <c r="I17" s="84"/>
      <c r="J17" s="85"/>
    </row>
    <row r="18" spans="1:10" x14ac:dyDescent="0.25">
      <c r="A18" s="71">
        <v>4200</v>
      </c>
      <c r="B18" s="78" t="s">
        <v>19</v>
      </c>
      <c r="C18" s="81">
        <f t="shared" si="1"/>
        <v>0</v>
      </c>
      <c r="D18" s="84"/>
      <c r="E18" s="84"/>
      <c r="F18" s="84"/>
      <c r="G18" s="75"/>
      <c r="H18" s="84"/>
      <c r="I18" s="84"/>
      <c r="J18" s="85"/>
    </row>
    <row r="19" spans="1:10" x14ac:dyDescent="0.25">
      <c r="A19" s="71">
        <v>4300</v>
      </c>
      <c r="B19" s="78" t="s">
        <v>20</v>
      </c>
      <c r="C19" s="81">
        <f t="shared" si="1"/>
        <v>0</v>
      </c>
      <c r="D19" s="84"/>
      <c r="E19" s="84"/>
      <c r="F19" s="84"/>
      <c r="G19" s="75"/>
      <c r="H19" s="84"/>
      <c r="I19" s="84"/>
      <c r="J19" s="85"/>
    </row>
    <row r="20" spans="1:10" x14ac:dyDescent="0.25">
      <c r="A20" s="71">
        <v>5100</v>
      </c>
      <c r="B20" s="78" t="s">
        <v>22</v>
      </c>
      <c r="C20" s="81">
        <f t="shared" si="1"/>
        <v>0</v>
      </c>
      <c r="D20" s="84"/>
      <c r="E20" s="84"/>
      <c r="F20" s="84"/>
      <c r="G20" s="75"/>
      <c r="H20" s="84"/>
      <c r="I20" s="84"/>
      <c r="J20" s="85"/>
    </row>
    <row r="21" spans="1:10" x14ac:dyDescent="0.25">
      <c r="A21" s="71">
        <v>5200</v>
      </c>
      <c r="B21" s="78" t="s">
        <v>23</v>
      </c>
      <c r="C21" s="81">
        <f t="shared" si="1"/>
        <v>41850</v>
      </c>
      <c r="D21" s="84">
        <v>4900</v>
      </c>
      <c r="E21" s="84">
        <v>6700</v>
      </c>
      <c r="F21" s="84">
        <f>9000-3000</f>
        <v>6000</v>
      </c>
      <c r="G21" s="75">
        <v>750</v>
      </c>
      <c r="H21" s="84">
        <v>17400</v>
      </c>
      <c r="I21" s="84">
        <v>1800</v>
      </c>
      <c r="J21" s="85">
        <v>4300</v>
      </c>
    </row>
    <row r="22" spans="1:10" s="3" customFormat="1" x14ac:dyDescent="0.25">
      <c r="A22" s="71">
        <v>6000</v>
      </c>
      <c r="B22" s="72" t="s">
        <v>58</v>
      </c>
      <c r="C22" s="81">
        <f>SUM(C23:C25)</f>
        <v>0</v>
      </c>
      <c r="D22" s="86">
        <f t="shared" ref="D22:J22" si="2">SUM(D23:D25)</f>
        <v>0</v>
      </c>
      <c r="E22" s="86">
        <f t="shared" si="2"/>
        <v>0</v>
      </c>
      <c r="F22" s="86">
        <f t="shared" si="2"/>
        <v>0</v>
      </c>
      <c r="G22" s="86">
        <f t="shared" si="2"/>
        <v>0</v>
      </c>
      <c r="H22" s="86">
        <f t="shared" si="2"/>
        <v>0</v>
      </c>
      <c r="I22" s="86">
        <f t="shared" si="2"/>
        <v>0</v>
      </c>
      <c r="J22" s="87">
        <f t="shared" si="2"/>
        <v>0</v>
      </c>
    </row>
    <row r="23" spans="1:10" x14ac:dyDescent="0.25">
      <c r="A23" s="71">
        <v>6200</v>
      </c>
      <c r="B23" s="78" t="s">
        <v>24</v>
      </c>
      <c r="C23" s="81">
        <f>SUM(D23:J23)</f>
        <v>0</v>
      </c>
      <c r="D23" s="79"/>
      <c r="E23" s="79"/>
      <c r="F23" s="79"/>
      <c r="G23" s="79"/>
      <c r="H23" s="79"/>
      <c r="I23" s="79"/>
      <c r="J23" s="80"/>
    </row>
    <row r="24" spans="1:10" x14ac:dyDescent="0.25">
      <c r="A24" s="71">
        <v>6300</v>
      </c>
      <c r="B24" s="72" t="s">
        <v>59</v>
      </c>
      <c r="C24" s="73">
        <f>SUM(D24:J24)</f>
        <v>0</v>
      </c>
      <c r="D24" s="89"/>
      <c r="E24" s="89"/>
      <c r="F24" s="89"/>
      <c r="G24" s="89"/>
      <c r="H24" s="89"/>
      <c r="I24" s="89"/>
      <c r="J24" s="90"/>
    </row>
    <row r="25" spans="1:10" ht="30" x14ac:dyDescent="0.25">
      <c r="A25" s="71">
        <v>6400</v>
      </c>
      <c r="B25" s="91" t="s">
        <v>75</v>
      </c>
      <c r="C25" s="73">
        <f>SUM(D25:J25)</f>
        <v>0</v>
      </c>
      <c r="D25" s="93"/>
      <c r="E25" s="93"/>
      <c r="F25" s="93"/>
      <c r="G25" s="93"/>
      <c r="H25" s="93"/>
      <c r="I25" s="93"/>
      <c r="J25" s="94"/>
    </row>
    <row r="26" spans="1:10" ht="15.75" thickBot="1" x14ac:dyDescent="0.3">
      <c r="A26" s="95">
        <v>7200</v>
      </c>
      <c r="B26" s="96" t="s">
        <v>25</v>
      </c>
      <c r="C26" s="97">
        <f>SUM(D26:J26)</f>
        <v>0</v>
      </c>
      <c r="D26" s="99"/>
      <c r="E26" s="99"/>
      <c r="F26" s="99"/>
      <c r="G26" s="100"/>
      <c r="H26" s="99"/>
      <c r="I26" s="99"/>
      <c r="J26" s="101"/>
    </row>
    <row r="27" spans="1:10" ht="15.75" thickBot="1" x14ac:dyDescent="0.3">
      <c r="A27" s="62"/>
      <c r="B27" s="102" t="s">
        <v>26</v>
      </c>
      <c r="C27" s="103">
        <f>C10+C11+C12+C18+C19+C20+C21+C22+C26</f>
        <v>4001115</v>
      </c>
      <c r="D27" s="216">
        <f>D10+D11+D12+D18+D19+D20+D21+D22+D26</f>
        <v>768068</v>
      </c>
      <c r="E27" s="103">
        <f t="shared" ref="E27:J27" si="3">E10+E11+E12+E18+E19+E20+E21+E22+E26</f>
        <v>563099</v>
      </c>
      <c r="F27" s="103">
        <f t="shared" si="3"/>
        <v>553958</v>
      </c>
      <c r="G27" s="103">
        <f t="shared" si="3"/>
        <v>651013</v>
      </c>
      <c r="H27" s="103">
        <f>H10+H11+H12+H18+H19+H20+H21+H22+H26</f>
        <v>372946</v>
      </c>
      <c r="I27" s="103">
        <f t="shared" si="3"/>
        <v>713794</v>
      </c>
      <c r="J27" s="103">
        <f t="shared" si="3"/>
        <v>378237</v>
      </c>
    </row>
    <row r="28" spans="1:10" x14ac:dyDescent="0.25">
      <c r="A28" s="4"/>
      <c r="B28" s="105" t="s">
        <v>62</v>
      </c>
      <c r="C28" s="7">
        <f>SUM(D28:J28)</f>
        <v>564466</v>
      </c>
      <c r="D28" s="7">
        <f>98144+15910</f>
        <v>114054</v>
      </c>
      <c r="E28" s="108">
        <f>57304+11310</f>
        <v>68614</v>
      </c>
      <c r="F28" s="390">
        <f>97080+12330</f>
        <v>109410</v>
      </c>
      <c r="G28" s="108">
        <f>91552+14630</f>
        <v>106182</v>
      </c>
      <c r="H28" s="108">
        <f>36968+6375</f>
        <v>43343</v>
      </c>
      <c r="I28" s="108">
        <f>69824+15395</f>
        <v>85219</v>
      </c>
      <c r="J28" s="3">
        <f>30304+7340</f>
        <v>37644</v>
      </c>
    </row>
    <row r="29" spans="1:10" x14ac:dyDescent="0.25">
      <c r="A29" s="4"/>
      <c r="B29" s="105" t="s">
        <v>249</v>
      </c>
      <c r="C29" s="7">
        <f>SUM(D29:J29)</f>
        <v>5562</v>
      </c>
      <c r="D29" s="7">
        <v>5562</v>
      </c>
      <c r="E29" s="108"/>
      <c r="F29" s="390"/>
      <c r="G29" s="108"/>
      <c r="H29" s="108"/>
      <c r="I29" s="108"/>
      <c r="J29" s="3"/>
    </row>
    <row r="30" spans="1:10" x14ac:dyDescent="0.25">
      <c r="A30" s="4"/>
      <c r="B30" s="105" t="s">
        <v>63</v>
      </c>
      <c r="C30" s="7">
        <f>SUM(D30:J30)</f>
        <v>0</v>
      </c>
      <c r="D30" s="7"/>
      <c r="E30" s="108"/>
      <c r="F30" s="390"/>
      <c r="G30" s="108"/>
      <c r="H30" s="108"/>
      <c r="I30" s="108"/>
      <c r="J30" s="3"/>
    </row>
    <row r="31" spans="1:10" ht="26.25" x14ac:dyDescent="0.25">
      <c r="A31" s="4"/>
      <c r="B31" s="400" t="s">
        <v>337</v>
      </c>
      <c r="C31" s="7">
        <f>SUM(D31:J31)</f>
        <v>0</v>
      </c>
      <c r="D31" s="7"/>
      <c r="E31" s="108"/>
      <c r="F31" s="108"/>
      <c r="G31" s="108"/>
      <c r="H31" s="108"/>
      <c r="I31" s="108"/>
      <c r="J31" s="3"/>
    </row>
    <row r="32" spans="1:10" x14ac:dyDescent="0.25">
      <c r="A32" s="4"/>
      <c r="B32" s="105" t="s">
        <v>51</v>
      </c>
      <c r="C32" s="108">
        <f>SUM(C27:C31)</f>
        <v>4571143</v>
      </c>
      <c r="D32" s="108">
        <f>D27+D28+D29+D30+D31</f>
        <v>887684</v>
      </c>
      <c r="E32" s="108">
        <f t="shared" ref="E32:J32" si="4">E27+E28+E30+E31</f>
        <v>631713</v>
      </c>
      <c r="F32" s="108">
        <f t="shared" si="4"/>
        <v>663368</v>
      </c>
      <c r="G32" s="108">
        <f t="shared" si="4"/>
        <v>757195</v>
      </c>
      <c r="H32" s="108">
        <f t="shared" si="4"/>
        <v>416289</v>
      </c>
      <c r="I32" s="108">
        <f t="shared" si="4"/>
        <v>799013</v>
      </c>
      <c r="J32" s="108">
        <f t="shared" si="4"/>
        <v>415881</v>
      </c>
    </row>
    <row r="33" spans="1:10" x14ac:dyDescent="0.25">
      <c r="A33" s="4"/>
      <c r="B33" s="105"/>
      <c r="C33" s="108"/>
      <c r="D33" s="108"/>
      <c r="E33" s="108"/>
      <c r="F33" s="108"/>
      <c r="G33" s="108"/>
      <c r="H33" s="108"/>
      <c r="I33" s="108"/>
      <c r="J33" s="108"/>
    </row>
    <row r="34" spans="1:10" x14ac:dyDescent="0.25">
      <c r="B34" s="8" t="s">
        <v>149</v>
      </c>
      <c r="C34" s="8"/>
      <c r="D34" s="1" t="s">
        <v>41</v>
      </c>
    </row>
  </sheetData>
  <mergeCells count="1">
    <mergeCell ref="A4:C4"/>
  </mergeCells>
  <phoneticPr fontId="0" type="noConversion"/>
  <pageMargins left="0.15748031496062992" right="0" top="0.39370078740157483" bottom="0.59055118110236227" header="0.31496062992125984" footer="0.51181102362204722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workbookViewId="0">
      <selection activeCell="C2" sqref="C2"/>
    </sheetView>
  </sheetViews>
  <sheetFormatPr defaultRowHeight="12.75" x14ac:dyDescent="0.2"/>
  <cols>
    <col min="3" max="3" width="46.7109375" customWidth="1"/>
    <col min="4" max="5" width="13" customWidth="1"/>
    <col min="6" max="6" width="14" customWidth="1"/>
    <col min="7" max="7" width="19" customWidth="1"/>
    <col min="8" max="8" width="17" customWidth="1"/>
    <col min="9" max="9" width="12.42578125" customWidth="1"/>
    <col min="10" max="10" width="15.7109375" customWidth="1"/>
    <col min="11" max="11" width="11" customWidth="1"/>
    <col min="12" max="12" width="10.28515625" customWidth="1"/>
    <col min="13" max="13" width="15.5703125" customWidth="1"/>
    <col min="14" max="14" width="13.5703125" customWidth="1"/>
    <col min="15" max="15" width="12.28515625" customWidth="1"/>
    <col min="16" max="16" width="14.42578125" customWidth="1"/>
    <col min="18" max="18" width="12.85546875" customWidth="1"/>
  </cols>
  <sheetData>
    <row r="1" spans="1:18" ht="14.25" x14ac:dyDescent="0.2">
      <c r="A1" s="588" t="s">
        <v>279</v>
      </c>
      <c r="B1" s="588"/>
      <c r="C1" s="588"/>
      <c r="D1" s="588"/>
      <c r="E1" s="588"/>
      <c r="F1" s="590"/>
      <c r="G1" s="589"/>
      <c r="H1" s="589"/>
      <c r="I1" s="590"/>
      <c r="J1" s="591"/>
      <c r="K1" s="591"/>
      <c r="L1" s="590"/>
      <c r="M1" s="591"/>
      <c r="N1" s="589"/>
      <c r="O1" s="592" t="s">
        <v>572</v>
      </c>
      <c r="P1" s="592"/>
    </row>
    <row r="2" spans="1:18" ht="15.75" thickBot="1" x14ac:dyDescent="0.3">
      <c r="A2" s="588" t="s">
        <v>455</v>
      </c>
      <c r="B2" s="588"/>
      <c r="C2" s="369"/>
      <c r="D2" s="369"/>
      <c r="E2" s="369"/>
      <c r="F2" s="592"/>
      <c r="G2" s="592"/>
      <c r="H2" s="592"/>
      <c r="I2" s="592"/>
      <c r="J2" s="592"/>
      <c r="K2" s="592"/>
      <c r="L2" s="592"/>
      <c r="M2" s="592"/>
      <c r="N2" s="592"/>
      <c r="O2" s="592"/>
      <c r="P2" s="592"/>
    </row>
    <row r="3" spans="1:18" ht="15.75" x14ac:dyDescent="0.25">
      <c r="A3" s="593"/>
      <c r="B3" s="714"/>
      <c r="C3" s="594" t="s">
        <v>187</v>
      </c>
      <c r="D3" s="913"/>
      <c r="E3" s="334" t="s">
        <v>593</v>
      </c>
      <c r="F3" s="334" t="s">
        <v>286</v>
      </c>
      <c r="G3" s="334" t="s">
        <v>232</v>
      </c>
      <c r="H3" s="334" t="s">
        <v>397</v>
      </c>
      <c r="I3" s="337" t="s">
        <v>287</v>
      </c>
      <c r="J3" s="333" t="s">
        <v>569</v>
      </c>
      <c r="K3" s="362" t="s">
        <v>216</v>
      </c>
      <c r="L3" s="334" t="s">
        <v>288</v>
      </c>
      <c r="M3" s="595" t="s">
        <v>421</v>
      </c>
      <c r="N3" s="595" t="s">
        <v>422</v>
      </c>
      <c r="O3" s="334" t="s">
        <v>185</v>
      </c>
      <c r="P3" s="334" t="s">
        <v>289</v>
      </c>
    </row>
    <row r="4" spans="1:18" ht="120" customHeight="1" thickBot="1" x14ac:dyDescent="0.25">
      <c r="A4" s="596"/>
      <c r="B4" s="715"/>
      <c r="C4" s="597"/>
      <c r="D4" s="598" t="s">
        <v>125</v>
      </c>
      <c r="E4" s="598" t="s">
        <v>594</v>
      </c>
      <c r="F4" s="598" t="s">
        <v>290</v>
      </c>
      <c r="G4" s="599" t="s">
        <v>217</v>
      </c>
      <c r="H4" s="600" t="s">
        <v>501</v>
      </c>
      <c r="I4" s="601" t="s">
        <v>502</v>
      </c>
      <c r="J4" s="602" t="s">
        <v>503</v>
      </c>
      <c r="K4" s="601" t="s">
        <v>218</v>
      </c>
      <c r="L4" s="601" t="s">
        <v>504</v>
      </c>
      <c r="M4" s="601" t="s">
        <v>505</v>
      </c>
      <c r="N4" s="603" t="s">
        <v>423</v>
      </c>
      <c r="O4" s="601" t="s">
        <v>506</v>
      </c>
      <c r="P4" s="602" t="s">
        <v>507</v>
      </c>
    </row>
    <row r="5" spans="1:18" ht="16.5" thickBot="1" x14ac:dyDescent="0.3">
      <c r="A5" s="698" t="s">
        <v>7</v>
      </c>
      <c r="B5" s="716" t="s">
        <v>7</v>
      </c>
      <c r="C5" s="708" t="s">
        <v>8</v>
      </c>
      <c r="D5" s="695" t="s">
        <v>30</v>
      </c>
      <c r="E5" s="694" t="s">
        <v>247</v>
      </c>
      <c r="F5" s="694" t="s">
        <v>247</v>
      </c>
      <c r="G5" s="694" t="s">
        <v>247</v>
      </c>
      <c r="H5" s="694" t="s">
        <v>247</v>
      </c>
      <c r="I5" s="694" t="s">
        <v>247</v>
      </c>
      <c r="J5" s="694" t="s">
        <v>247</v>
      </c>
      <c r="K5" s="694" t="s">
        <v>247</v>
      </c>
      <c r="L5" s="694" t="s">
        <v>247</v>
      </c>
      <c r="M5" s="694" t="s">
        <v>247</v>
      </c>
      <c r="N5" s="694" t="s">
        <v>247</v>
      </c>
      <c r="O5" s="694" t="s">
        <v>247</v>
      </c>
      <c r="P5" s="694" t="s">
        <v>247</v>
      </c>
    </row>
    <row r="6" spans="1:18" ht="15" x14ac:dyDescent="0.25">
      <c r="A6" s="604"/>
      <c r="B6" s="717"/>
      <c r="C6" s="709" t="s">
        <v>210</v>
      </c>
      <c r="D6" s="640">
        <f t="shared" ref="D6:D11" si="0">SUM(E6:P6)</f>
        <v>127407</v>
      </c>
      <c r="E6" s="906"/>
      <c r="F6" s="606"/>
      <c r="G6" s="606">
        <v>113075</v>
      </c>
      <c r="H6" s="607"/>
      <c r="I6" s="607"/>
      <c r="J6" s="605"/>
      <c r="K6" s="607">
        <v>12640</v>
      </c>
      <c r="L6" s="607"/>
      <c r="M6" s="607"/>
      <c r="N6" s="608">
        <v>1692</v>
      </c>
      <c r="O6" s="607"/>
      <c r="P6" s="607"/>
    </row>
    <row r="7" spans="1:18" ht="15" x14ac:dyDescent="0.25">
      <c r="A7" s="609"/>
      <c r="B7" s="636"/>
      <c r="C7" s="710" t="s">
        <v>211</v>
      </c>
      <c r="D7" s="640">
        <f t="shared" si="0"/>
        <v>1475092.2</v>
      </c>
      <c r="E7" s="980">
        <v>19200</v>
      </c>
      <c r="F7" s="363">
        <v>3600</v>
      </c>
      <c r="G7" s="981">
        <f>129355+57068</f>
        <v>186423</v>
      </c>
      <c r="H7" s="363">
        <f>247617.2+387288-125582+228086</f>
        <v>737409.2</v>
      </c>
      <c r="I7" s="363">
        <f>242679+48399</f>
        <v>291078</v>
      </c>
      <c r="J7" s="363">
        <f>100000+6920</f>
        <v>106920</v>
      </c>
      <c r="K7" s="363"/>
      <c r="L7" s="607">
        <v>16257</v>
      </c>
      <c r="M7" s="607">
        <v>54472</v>
      </c>
      <c r="N7" s="612">
        <f>15425-1692</f>
        <v>13733</v>
      </c>
      <c r="O7" s="344">
        <v>46000</v>
      </c>
      <c r="P7" s="607"/>
      <c r="R7" s="613"/>
    </row>
    <row r="8" spans="1:18" ht="15" x14ac:dyDescent="0.25">
      <c r="A8" s="609"/>
      <c r="B8" s="636"/>
      <c r="C8" s="710" t="s">
        <v>67</v>
      </c>
      <c r="D8" s="640">
        <f t="shared" si="0"/>
        <v>4689268</v>
      </c>
      <c r="E8" s="905"/>
      <c r="F8" s="605">
        <v>800</v>
      </c>
      <c r="G8" s="611"/>
      <c r="H8" s="607">
        <v>12325</v>
      </c>
      <c r="I8" s="607"/>
      <c r="J8" s="344">
        <v>300331</v>
      </c>
      <c r="K8" s="344">
        <f>103000-12640</f>
        <v>90360</v>
      </c>
      <c r="L8" s="344">
        <v>31161</v>
      </c>
      <c r="M8" s="344">
        <v>7200</v>
      </c>
      <c r="N8" s="616">
        <v>6767</v>
      </c>
      <c r="O8" s="344">
        <v>3763089</v>
      </c>
      <c r="P8" s="344">
        <v>477235</v>
      </c>
      <c r="R8" s="614"/>
    </row>
    <row r="9" spans="1:18" ht="15" x14ac:dyDescent="0.25">
      <c r="A9" s="615"/>
      <c r="B9" s="642"/>
      <c r="C9" s="710" t="s">
        <v>284</v>
      </c>
      <c r="D9" s="640">
        <f t="shared" si="0"/>
        <v>3378805</v>
      </c>
      <c r="E9" s="905"/>
      <c r="F9" s="607"/>
      <c r="G9" s="606"/>
      <c r="H9" s="607"/>
      <c r="I9" s="344"/>
      <c r="J9" s="344">
        <v>448386</v>
      </c>
      <c r="K9" s="344"/>
      <c r="L9" s="344"/>
      <c r="M9" s="344"/>
      <c r="N9" s="616"/>
      <c r="O9" s="344">
        <v>1799717</v>
      </c>
      <c r="P9" s="344">
        <v>1130702</v>
      </c>
    </row>
    <row r="10" spans="1:18" ht="15" x14ac:dyDescent="0.25">
      <c r="A10" s="615"/>
      <c r="B10" s="642"/>
      <c r="C10" s="711" t="s">
        <v>285</v>
      </c>
      <c r="D10" s="640">
        <f t="shared" si="0"/>
        <v>10742266.280000001</v>
      </c>
      <c r="E10" s="905"/>
      <c r="F10" s="607"/>
      <c r="G10" s="606">
        <v>213170</v>
      </c>
      <c r="H10" s="607">
        <f>269615+127250</f>
        <v>396865</v>
      </c>
      <c r="I10" s="344">
        <f>2934228+1178222.28</f>
        <v>4112450.2800000003</v>
      </c>
      <c r="J10" s="344"/>
      <c r="K10" s="344"/>
      <c r="L10" s="344"/>
      <c r="M10" s="344"/>
      <c r="N10" s="616"/>
      <c r="O10" s="344">
        <v>6019781</v>
      </c>
      <c r="P10" s="344"/>
    </row>
    <row r="11" spans="1:18" ht="15.75" thickBot="1" x14ac:dyDescent="0.3">
      <c r="A11" s="615"/>
      <c r="B11" s="642"/>
      <c r="C11" s="712" t="s">
        <v>9</v>
      </c>
      <c r="D11" s="640">
        <f t="shared" si="0"/>
        <v>19600</v>
      </c>
      <c r="E11" s="905"/>
      <c r="F11" s="363">
        <f>20400-800</f>
        <v>19600</v>
      </c>
      <c r="G11" s="606"/>
      <c r="H11" s="607"/>
      <c r="I11" s="344"/>
      <c r="J11" s="344"/>
      <c r="K11" s="344"/>
      <c r="L11" s="344"/>
      <c r="M11" s="344"/>
      <c r="N11" s="617"/>
      <c r="O11" s="344"/>
      <c r="P11" s="344"/>
    </row>
    <row r="12" spans="1:18" ht="15.75" thickBot="1" x14ac:dyDescent="0.3">
      <c r="A12" s="618"/>
      <c r="B12" s="718"/>
      <c r="C12" s="713" t="s">
        <v>39</v>
      </c>
      <c r="D12" s="643">
        <f>SUM(D7:D11)</f>
        <v>20305031.48</v>
      </c>
      <c r="E12" s="620">
        <f t="shared" ref="E12:P12" si="1">SUM(E7:E11)</f>
        <v>19200</v>
      </c>
      <c r="F12" s="620">
        <f t="shared" si="1"/>
        <v>24000</v>
      </c>
      <c r="G12" s="620">
        <f>SUM(G7:G11)</f>
        <v>399593</v>
      </c>
      <c r="H12" s="620">
        <f>SUM(H7:H11)</f>
        <v>1146599.2</v>
      </c>
      <c r="I12" s="620">
        <f t="shared" si="1"/>
        <v>4403528.28</v>
      </c>
      <c r="J12" s="620">
        <f>SUM(J7:J11)</f>
        <v>855637</v>
      </c>
      <c r="K12" s="620">
        <f t="shared" si="1"/>
        <v>90360</v>
      </c>
      <c r="L12" s="620">
        <f t="shared" si="1"/>
        <v>47418</v>
      </c>
      <c r="M12" s="620">
        <f t="shared" si="1"/>
        <v>61672</v>
      </c>
      <c r="N12" s="620">
        <f t="shared" si="1"/>
        <v>20500</v>
      </c>
      <c r="O12" s="620">
        <f t="shared" si="1"/>
        <v>11628587</v>
      </c>
      <c r="P12" s="620">
        <f t="shared" si="1"/>
        <v>1607937</v>
      </c>
    </row>
    <row r="13" spans="1:18" ht="15.75" thickBot="1" x14ac:dyDescent="0.3">
      <c r="A13" s="621"/>
      <c r="B13" s="622"/>
      <c r="C13" s="623" t="s">
        <v>212</v>
      </c>
      <c r="D13" s="624">
        <f>SUM(D6+D12)</f>
        <v>20432438.48</v>
      </c>
      <c r="E13" s="625">
        <f t="shared" ref="E13:P13" si="2">SUM(E6+E12)</f>
        <v>19200</v>
      </c>
      <c r="F13" s="625">
        <f t="shared" si="2"/>
        <v>24000</v>
      </c>
      <c r="G13" s="625">
        <f t="shared" si="2"/>
        <v>512668</v>
      </c>
      <c r="H13" s="625">
        <f t="shared" si="2"/>
        <v>1146599.2</v>
      </c>
      <c r="I13" s="625">
        <f t="shared" si="2"/>
        <v>4403528.28</v>
      </c>
      <c r="J13" s="625">
        <f t="shared" si="2"/>
        <v>855637</v>
      </c>
      <c r="K13" s="625">
        <f t="shared" si="2"/>
        <v>103000</v>
      </c>
      <c r="L13" s="625">
        <f t="shared" si="2"/>
        <v>47418</v>
      </c>
      <c r="M13" s="625">
        <f t="shared" si="2"/>
        <v>61672</v>
      </c>
      <c r="N13" s="625">
        <f t="shared" si="2"/>
        <v>22192</v>
      </c>
      <c r="O13" s="625">
        <f t="shared" si="2"/>
        <v>11628587</v>
      </c>
      <c r="P13" s="625">
        <f t="shared" si="2"/>
        <v>1607937</v>
      </c>
    </row>
    <row r="14" spans="1:18" ht="15.75" thickBot="1" x14ac:dyDescent="0.3">
      <c r="A14" s="626"/>
      <c r="B14" s="626"/>
      <c r="C14" s="627"/>
      <c r="D14" s="628"/>
      <c r="E14" s="628"/>
      <c r="F14" s="629"/>
      <c r="G14" s="629"/>
      <c r="H14" s="629"/>
      <c r="I14" s="629"/>
      <c r="J14" s="629"/>
      <c r="K14" s="629"/>
      <c r="L14" s="629"/>
      <c r="M14" s="629"/>
      <c r="N14" s="630"/>
      <c r="O14" s="629"/>
      <c r="P14" s="629"/>
      <c r="Q14" s="631"/>
      <c r="R14" s="631"/>
    </row>
    <row r="15" spans="1:18" ht="15.75" customHeight="1" thickBot="1" x14ac:dyDescent="0.3">
      <c r="A15" s="699" t="s">
        <v>7</v>
      </c>
      <c r="B15" s="700" t="s">
        <v>7</v>
      </c>
      <c r="C15" s="701" t="s">
        <v>10</v>
      </c>
      <c r="D15" s="702" t="s">
        <v>34</v>
      </c>
      <c r="E15" s="703" t="s">
        <v>247</v>
      </c>
      <c r="F15" s="907" t="s">
        <v>247</v>
      </c>
      <c r="G15" s="704" t="s">
        <v>247</v>
      </c>
      <c r="H15" s="704" t="s">
        <v>247</v>
      </c>
      <c r="I15" s="704" t="s">
        <v>247</v>
      </c>
      <c r="J15" s="704" t="s">
        <v>247</v>
      </c>
      <c r="K15" s="704" t="s">
        <v>247</v>
      </c>
      <c r="L15" s="704" t="s">
        <v>247</v>
      </c>
      <c r="M15" s="704" t="s">
        <v>247</v>
      </c>
      <c r="N15" s="704" t="s">
        <v>247</v>
      </c>
      <c r="O15" s="704" t="s">
        <v>247</v>
      </c>
      <c r="P15" s="705" t="s">
        <v>247</v>
      </c>
    </row>
    <row r="16" spans="1:18" ht="15" x14ac:dyDescent="0.25">
      <c r="A16" s="719">
        <v>1100</v>
      </c>
      <c r="B16" s="689">
        <v>1100</v>
      </c>
      <c r="C16" s="690" t="s">
        <v>11</v>
      </c>
      <c r="D16" s="635">
        <f>SUM(E16:P16)</f>
        <v>160273</v>
      </c>
      <c r="E16" s="906"/>
      <c r="F16" s="908">
        <v>9400</v>
      </c>
      <c r="G16" s="706">
        <v>0</v>
      </c>
      <c r="H16" s="706">
        <v>15152</v>
      </c>
      <c r="I16" s="706">
        <v>0</v>
      </c>
      <c r="J16" s="706">
        <v>11198</v>
      </c>
      <c r="K16" s="706">
        <v>6500</v>
      </c>
      <c r="L16" s="706">
        <v>2063</v>
      </c>
      <c r="M16" s="706">
        <v>0</v>
      </c>
      <c r="N16" s="706">
        <v>0</v>
      </c>
      <c r="O16" s="707">
        <v>115960</v>
      </c>
      <c r="P16" s="706">
        <v>0</v>
      </c>
    </row>
    <row r="17" spans="1:16" ht="30" customHeight="1" x14ac:dyDescent="0.25">
      <c r="A17" s="720">
        <v>1200</v>
      </c>
      <c r="B17" s="636">
        <v>1200</v>
      </c>
      <c r="C17" s="610" t="s">
        <v>12</v>
      </c>
      <c r="D17" s="641">
        <f>SUM(E17:P17)</f>
        <v>39684</v>
      </c>
      <c r="E17" s="910"/>
      <c r="F17" s="638">
        <v>3300</v>
      </c>
      <c r="G17" s="637">
        <v>0</v>
      </c>
      <c r="H17" s="637">
        <v>3652</v>
      </c>
      <c r="I17" s="637">
        <v>0</v>
      </c>
      <c r="J17" s="637">
        <v>2642</v>
      </c>
      <c r="K17" s="637">
        <v>1500</v>
      </c>
      <c r="L17" s="637">
        <v>655</v>
      </c>
      <c r="M17" s="637">
        <v>0</v>
      </c>
      <c r="N17" s="637">
        <v>0</v>
      </c>
      <c r="O17" s="304">
        <v>27935</v>
      </c>
      <c r="P17" s="637">
        <v>0</v>
      </c>
    </row>
    <row r="18" spans="1:16" ht="15" x14ac:dyDescent="0.25">
      <c r="A18" s="720">
        <v>2000</v>
      </c>
      <c r="B18" s="636">
        <v>2000</v>
      </c>
      <c r="C18" s="358" t="s">
        <v>13</v>
      </c>
      <c r="D18" s="641">
        <f>SUM(D19+D20+D21+D22+D23)</f>
        <v>187442</v>
      </c>
      <c r="E18" s="638">
        <f t="shared" ref="E18:P18" si="3">SUM(E19+E20+E21+E22+E23)</f>
        <v>0</v>
      </c>
      <c r="F18" s="638">
        <f t="shared" si="3"/>
        <v>11300</v>
      </c>
      <c r="G18" s="637">
        <f t="shared" si="3"/>
        <v>0</v>
      </c>
      <c r="H18" s="637">
        <f t="shared" si="3"/>
        <v>0</v>
      </c>
      <c r="I18" s="637">
        <f t="shared" si="3"/>
        <v>0</v>
      </c>
      <c r="J18" s="637">
        <f t="shared" si="3"/>
        <v>0</v>
      </c>
      <c r="K18" s="637">
        <f t="shared" si="3"/>
        <v>95000</v>
      </c>
      <c r="L18" s="637">
        <f t="shared" si="3"/>
        <v>18242</v>
      </c>
      <c r="M18" s="637">
        <f t="shared" si="3"/>
        <v>0</v>
      </c>
      <c r="N18" s="637">
        <f t="shared" si="3"/>
        <v>0</v>
      </c>
      <c r="O18" s="343">
        <f t="shared" si="3"/>
        <v>0</v>
      </c>
      <c r="P18" s="637">
        <f t="shared" si="3"/>
        <v>62900</v>
      </c>
    </row>
    <row r="19" spans="1:16" ht="15" x14ac:dyDescent="0.25">
      <c r="A19" s="720">
        <v>2100</v>
      </c>
      <c r="B19" s="636">
        <v>2100</v>
      </c>
      <c r="C19" s="358" t="s">
        <v>14</v>
      </c>
      <c r="D19" s="641">
        <f t="shared" ref="D19:D29" si="4">SUM(E19:P19)</f>
        <v>6349</v>
      </c>
      <c r="E19" s="910"/>
      <c r="F19" s="638">
        <v>4080</v>
      </c>
      <c r="G19" s="637">
        <v>0</v>
      </c>
      <c r="H19" s="637">
        <v>0</v>
      </c>
      <c r="I19" s="637">
        <v>0</v>
      </c>
      <c r="J19" s="637">
        <v>0</v>
      </c>
      <c r="K19" s="637">
        <v>0</v>
      </c>
      <c r="L19" s="637">
        <v>2269</v>
      </c>
      <c r="M19" s="637">
        <v>0</v>
      </c>
      <c r="N19" s="637">
        <v>0</v>
      </c>
      <c r="O19" s="343">
        <v>0</v>
      </c>
      <c r="P19" s="637">
        <v>0</v>
      </c>
    </row>
    <row r="20" spans="1:16" ht="15" x14ac:dyDescent="0.25">
      <c r="A20" s="720">
        <v>2200</v>
      </c>
      <c r="B20" s="636">
        <v>2200</v>
      </c>
      <c r="C20" s="358" t="s">
        <v>15</v>
      </c>
      <c r="D20" s="641">
        <f t="shared" si="4"/>
        <v>116359</v>
      </c>
      <c r="E20" s="910"/>
      <c r="F20" s="638">
        <v>7220</v>
      </c>
      <c r="G20" s="637">
        <v>0</v>
      </c>
      <c r="H20" s="637">
        <v>0</v>
      </c>
      <c r="I20" s="637">
        <v>0</v>
      </c>
      <c r="J20" s="637">
        <v>0</v>
      </c>
      <c r="K20" s="637">
        <v>95000</v>
      </c>
      <c r="L20" s="637">
        <v>14139</v>
      </c>
      <c r="M20" s="637">
        <v>0</v>
      </c>
      <c r="N20" s="637">
        <v>0</v>
      </c>
      <c r="O20" s="637">
        <v>0</v>
      </c>
      <c r="P20" s="343">
        <f>62900-62900</f>
        <v>0</v>
      </c>
    </row>
    <row r="21" spans="1:16" ht="15" x14ac:dyDescent="0.25">
      <c r="A21" s="720">
        <v>2300</v>
      </c>
      <c r="B21" s="636">
        <v>2300</v>
      </c>
      <c r="C21" s="358" t="s">
        <v>16</v>
      </c>
      <c r="D21" s="641">
        <f t="shared" si="4"/>
        <v>64734</v>
      </c>
      <c r="E21" s="910"/>
      <c r="F21" s="638">
        <v>0</v>
      </c>
      <c r="G21" s="638">
        <v>0</v>
      </c>
      <c r="H21" s="637">
        <v>0</v>
      </c>
      <c r="I21" s="637">
        <v>0</v>
      </c>
      <c r="J21" s="639">
        <v>0</v>
      </c>
      <c r="K21" s="637">
        <v>0</v>
      </c>
      <c r="L21" s="637">
        <v>1834</v>
      </c>
      <c r="M21" s="637">
        <v>0</v>
      </c>
      <c r="N21" s="637">
        <v>0</v>
      </c>
      <c r="O21" s="637">
        <v>0</v>
      </c>
      <c r="P21" s="343">
        <v>62900</v>
      </c>
    </row>
    <row r="22" spans="1:16" ht="15" hidden="1" x14ac:dyDescent="0.25">
      <c r="A22" s="720">
        <v>2400</v>
      </c>
      <c r="B22" s="636"/>
      <c r="C22" s="358" t="s">
        <v>213</v>
      </c>
      <c r="D22" s="641">
        <f t="shared" si="4"/>
        <v>0</v>
      </c>
      <c r="E22" s="911"/>
      <c r="F22" s="638"/>
      <c r="G22" s="638"/>
      <c r="H22" s="637"/>
      <c r="I22" s="637"/>
      <c r="J22" s="639"/>
      <c r="K22" s="637"/>
      <c r="L22" s="637"/>
      <c r="M22" s="637"/>
      <c r="N22" s="637"/>
      <c r="O22" s="637"/>
      <c r="P22" s="637"/>
    </row>
    <row r="23" spans="1:16" ht="15" hidden="1" x14ac:dyDescent="0.25">
      <c r="A23" s="720">
        <v>2500</v>
      </c>
      <c r="B23" s="636"/>
      <c r="C23" s="358" t="s">
        <v>17</v>
      </c>
      <c r="D23" s="641">
        <f t="shared" si="4"/>
        <v>0</v>
      </c>
      <c r="E23" s="910"/>
      <c r="F23" s="638">
        <v>0</v>
      </c>
      <c r="G23" s="638">
        <v>0</v>
      </c>
      <c r="H23" s="637">
        <v>0</v>
      </c>
      <c r="I23" s="637">
        <v>0</v>
      </c>
      <c r="J23" s="639">
        <v>0</v>
      </c>
      <c r="K23" s="637">
        <v>0</v>
      </c>
      <c r="L23" s="637">
        <v>0</v>
      </c>
      <c r="M23" s="637">
        <v>0</v>
      </c>
      <c r="N23" s="637">
        <v>0</v>
      </c>
      <c r="O23" s="637">
        <v>0</v>
      </c>
      <c r="P23" s="637">
        <v>0</v>
      </c>
    </row>
    <row r="24" spans="1:16" ht="15" hidden="1" x14ac:dyDescent="0.25">
      <c r="A24" s="720">
        <v>3200</v>
      </c>
      <c r="B24" s="636">
        <v>3260</v>
      </c>
      <c r="C24" s="358" t="s">
        <v>214</v>
      </c>
      <c r="D24" s="641">
        <f t="shared" si="4"/>
        <v>0</v>
      </c>
      <c r="E24" s="911"/>
      <c r="F24" s="638"/>
      <c r="G24" s="638"/>
      <c r="H24" s="637"/>
      <c r="I24" s="637"/>
      <c r="J24" s="639"/>
      <c r="K24" s="637"/>
      <c r="L24" s="637"/>
      <c r="M24" s="637"/>
      <c r="N24" s="637"/>
      <c r="O24" s="637"/>
      <c r="P24" s="637"/>
    </row>
    <row r="25" spans="1:16" ht="15" x14ac:dyDescent="0.25">
      <c r="A25" s="720">
        <v>5100</v>
      </c>
      <c r="B25" s="636">
        <v>5100</v>
      </c>
      <c r="C25" s="358" t="s">
        <v>22</v>
      </c>
      <c r="D25" s="641">
        <f t="shared" si="4"/>
        <v>0</v>
      </c>
      <c r="E25" s="910"/>
      <c r="F25" s="638">
        <v>0</v>
      </c>
      <c r="G25" s="638">
        <v>0</v>
      </c>
      <c r="H25" s="637">
        <v>0</v>
      </c>
      <c r="I25" s="637">
        <v>0</v>
      </c>
      <c r="J25" s="639">
        <v>0</v>
      </c>
      <c r="K25" s="637">
        <v>0</v>
      </c>
      <c r="L25" s="637">
        <v>0</v>
      </c>
      <c r="M25" s="637">
        <v>0</v>
      </c>
      <c r="N25" s="637">
        <v>0</v>
      </c>
      <c r="O25" s="637">
        <v>0</v>
      </c>
      <c r="P25" s="637">
        <v>0</v>
      </c>
    </row>
    <row r="26" spans="1:16" ht="15" x14ac:dyDescent="0.25">
      <c r="A26" s="720">
        <v>5200</v>
      </c>
      <c r="B26" s="636">
        <v>5200</v>
      </c>
      <c r="C26" s="358" t="s">
        <v>23</v>
      </c>
      <c r="D26" s="641">
        <f t="shared" si="4"/>
        <v>20045039</v>
      </c>
      <c r="E26" s="910">
        <v>19200</v>
      </c>
      <c r="F26" s="638">
        <v>0</v>
      </c>
      <c r="G26" s="638">
        <v>512668</v>
      </c>
      <c r="H26" s="637">
        <f>899709+228086</f>
        <v>1127795</v>
      </c>
      <c r="I26" s="637">
        <f>4355129+48399</f>
        <v>4403528</v>
      </c>
      <c r="J26" s="639">
        <f>848717-6920</f>
        <v>841797</v>
      </c>
      <c r="K26" s="637">
        <v>0</v>
      </c>
      <c r="L26" s="637">
        <v>26458</v>
      </c>
      <c r="M26" s="637">
        <v>61672</v>
      </c>
      <c r="N26" s="637">
        <v>22192</v>
      </c>
      <c r="O26" s="343">
        <v>11484692</v>
      </c>
      <c r="P26" s="637">
        <v>1545037</v>
      </c>
    </row>
    <row r="27" spans="1:16" ht="15" x14ac:dyDescent="0.25">
      <c r="A27" s="720">
        <v>6200</v>
      </c>
      <c r="B27" s="636">
        <v>6200</v>
      </c>
      <c r="C27" s="358" t="s">
        <v>24</v>
      </c>
      <c r="D27" s="641">
        <f t="shared" si="4"/>
        <v>0</v>
      </c>
      <c r="E27" s="911"/>
      <c r="F27" s="638"/>
      <c r="G27" s="638"/>
      <c r="H27" s="637"/>
      <c r="I27" s="637"/>
      <c r="J27" s="639"/>
      <c r="K27" s="637"/>
      <c r="L27" s="637"/>
      <c r="M27" s="637"/>
      <c r="N27" s="637"/>
      <c r="O27" s="637"/>
      <c r="P27" s="637"/>
    </row>
    <row r="28" spans="1:16" ht="15" x14ac:dyDescent="0.25">
      <c r="A28" s="721">
        <v>7240</v>
      </c>
      <c r="B28" s="642">
        <v>7200</v>
      </c>
      <c r="C28" s="359" t="s">
        <v>215</v>
      </c>
      <c r="D28" s="641">
        <f t="shared" si="4"/>
        <v>0</v>
      </c>
      <c r="E28" s="910"/>
      <c r="F28" s="692"/>
      <c r="G28" s="692"/>
      <c r="H28" s="691"/>
      <c r="I28" s="691"/>
      <c r="J28" s="693"/>
      <c r="K28" s="691"/>
      <c r="L28" s="691"/>
      <c r="M28" s="691"/>
      <c r="N28" s="691"/>
      <c r="O28" s="691"/>
      <c r="P28" s="691"/>
    </row>
    <row r="29" spans="1:16" ht="15.75" thickBot="1" x14ac:dyDescent="0.3">
      <c r="A29" s="721">
        <v>7700</v>
      </c>
      <c r="B29" s="642">
        <v>7700</v>
      </c>
      <c r="C29" s="359" t="s">
        <v>128</v>
      </c>
      <c r="D29" s="641">
        <f t="shared" si="4"/>
        <v>0</v>
      </c>
      <c r="E29" s="912"/>
      <c r="F29" s="692"/>
      <c r="G29" s="692"/>
      <c r="H29" s="691"/>
      <c r="I29" s="691"/>
      <c r="J29" s="693"/>
      <c r="K29" s="691"/>
      <c r="L29" s="691"/>
      <c r="M29" s="691"/>
      <c r="N29" s="691"/>
      <c r="O29" s="691"/>
      <c r="P29" s="691"/>
    </row>
    <row r="30" spans="1:16" ht="15" thickBot="1" x14ac:dyDescent="0.25">
      <c r="A30" s="633"/>
      <c r="B30" s="634"/>
      <c r="C30" s="619" t="s">
        <v>26</v>
      </c>
      <c r="D30" s="643">
        <f>SUM(D16+D17+D18+D24+D25+D26+D27+D28+D29)</f>
        <v>20432438</v>
      </c>
      <c r="E30" s="909">
        <f t="shared" ref="E30:P30" si="5">SUM(E16+E17+E18+E24+E25+E26+E27+E28+E29)</f>
        <v>19200</v>
      </c>
      <c r="F30" s="909">
        <f t="shared" si="5"/>
        <v>24000</v>
      </c>
      <c r="G30" s="643">
        <f t="shared" si="5"/>
        <v>512668</v>
      </c>
      <c r="H30" s="643">
        <f t="shared" si="5"/>
        <v>1146599</v>
      </c>
      <c r="I30" s="643">
        <f t="shared" si="5"/>
        <v>4403528</v>
      </c>
      <c r="J30" s="643">
        <f t="shared" si="5"/>
        <v>855637</v>
      </c>
      <c r="K30" s="643">
        <f t="shared" si="5"/>
        <v>103000</v>
      </c>
      <c r="L30" s="643">
        <f t="shared" si="5"/>
        <v>47418</v>
      </c>
      <c r="M30" s="643">
        <f t="shared" si="5"/>
        <v>61672</v>
      </c>
      <c r="N30" s="643">
        <f t="shared" si="5"/>
        <v>22192</v>
      </c>
      <c r="O30" s="643">
        <f t="shared" si="5"/>
        <v>11628587</v>
      </c>
      <c r="P30" s="643">
        <f t="shared" si="5"/>
        <v>1607937</v>
      </c>
    </row>
    <row r="31" spans="1:16" ht="15.75" thickBot="1" x14ac:dyDescent="0.3">
      <c r="A31" s="644"/>
      <c r="B31" s="645"/>
      <c r="C31" s="646"/>
      <c r="D31" s="696">
        <f t="shared" ref="D31:P31" si="6">D13-D30</f>
        <v>0.48000000044703484</v>
      </c>
      <c r="E31" s="697">
        <f t="shared" si="6"/>
        <v>0</v>
      </c>
      <c r="F31" s="697">
        <f t="shared" si="6"/>
        <v>0</v>
      </c>
      <c r="G31" s="697">
        <f t="shared" si="6"/>
        <v>0</v>
      </c>
      <c r="H31" s="697">
        <f t="shared" si="6"/>
        <v>0.19999999995343387</v>
      </c>
      <c r="I31" s="697">
        <f t="shared" si="6"/>
        <v>0.28000000026077032</v>
      </c>
      <c r="J31" s="697">
        <f t="shared" si="6"/>
        <v>0</v>
      </c>
      <c r="K31" s="697">
        <f t="shared" si="6"/>
        <v>0</v>
      </c>
      <c r="L31" s="697">
        <f t="shared" si="6"/>
        <v>0</v>
      </c>
      <c r="M31" s="697">
        <f t="shared" si="6"/>
        <v>0</v>
      </c>
      <c r="N31" s="697">
        <f t="shared" si="6"/>
        <v>0</v>
      </c>
      <c r="O31" s="697">
        <f t="shared" si="6"/>
        <v>0</v>
      </c>
      <c r="P31" s="697">
        <f t="shared" si="6"/>
        <v>0</v>
      </c>
    </row>
    <row r="33" spans="3:6" ht="15" x14ac:dyDescent="0.25">
      <c r="C33" s="8" t="s">
        <v>149</v>
      </c>
      <c r="D33" s="217"/>
      <c r="E33" s="217"/>
      <c r="F33" s="1" t="s">
        <v>41</v>
      </c>
    </row>
  </sheetData>
  <pageMargins left="0.7" right="0.7" top="0.75" bottom="0.75" header="0.3" footer="0.3"/>
  <pageSetup paperSize="9" scale="5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0"/>
  <sheetViews>
    <sheetView workbookViewId="0">
      <selection activeCell="AA7" sqref="AA7"/>
    </sheetView>
  </sheetViews>
  <sheetFormatPr defaultRowHeight="12.75" outlineLevelRow="1" x14ac:dyDescent="0.2"/>
  <cols>
    <col min="1" max="1" width="6.28515625" style="652" customWidth="1"/>
    <col min="2" max="2" width="5.85546875" style="652" customWidth="1"/>
    <col min="3" max="3" width="27.28515625" style="669" customWidth="1"/>
    <col min="4" max="4" width="9.28515625" style="652" customWidth="1"/>
    <col min="5" max="5" width="9.42578125" style="652" customWidth="1"/>
    <col min="6" max="6" width="9.7109375" style="652" customWidth="1"/>
    <col min="7" max="7" width="8.28515625" style="652" customWidth="1"/>
    <col min="8" max="8" width="10" style="652" customWidth="1"/>
    <col min="9" max="9" width="9.42578125" style="652" customWidth="1"/>
    <col min="10" max="10" width="9.85546875" style="652" customWidth="1"/>
    <col min="11" max="11" width="9.28515625" style="652" customWidth="1"/>
    <col min="12" max="12" width="11.28515625" style="652" customWidth="1"/>
    <col min="13" max="13" width="9.42578125" style="652" customWidth="1"/>
    <col min="14" max="14" width="8.85546875" style="652" customWidth="1"/>
    <col min="15" max="15" width="10.140625" style="652" customWidth="1"/>
    <col min="16" max="16" width="11.28515625" style="652" customWidth="1"/>
    <col min="17" max="17" width="10" style="652" customWidth="1"/>
    <col min="18" max="19" width="9.7109375" style="652" customWidth="1"/>
    <col min="20" max="20" width="10.42578125" style="652" customWidth="1"/>
    <col min="21" max="21" width="9.28515625" style="652" customWidth="1"/>
    <col min="22" max="22" width="9.85546875" style="652" customWidth="1"/>
    <col min="23" max="23" width="9.7109375" style="652" customWidth="1"/>
    <col min="24" max="24" width="9.85546875" style="652" customWidth="1"/>
    <col min="25" max="25" width="9.5703125" style="652" customWidth="1"/>
    <col min="26" max="27" width="11" style="652" customWidth="1"/>
    <col min="28" max="28" width="9.42578125" style="652" customWidth="1"/>
    <col min="29" max="30" width="9.140625" style="652" customWidth="1"/>
    <col min="31" max="16384" width="9.140625" style="652"/>
  </cols>
  <sheetData>
    <row r="1" spans="1:30" x14ac:dyDescent="0.2">
      <c r="C1" s="924" t="s">
        <v>572</v>
      </c>
    </row>
    <row r="2" spans="1:30" s="647" customFormat="1" ht="12.6" customHeight="1" x14ac:dyDescent="0.2">
      <c r="C2" s="925" t="s">
        <v>0</v>
      </c>
      <c r="AB2" s="647" t="s">
        <v>291</v>
      </c>
    </row>
    <row r="3" spans="1:30" s="632" customFormat="1" ht="12.6" customHeight="1" x14ac:dyDescent="0.2"/>
    <row r="4" spans="1:30" ht="12.6" customHeight="1" x14ac:dyDescent="0.25">
      <c r="A4" s="648" t="s">
        <v>508</v>
      </c>
      <c r="B4" s="648"/>
      <c r="C4" s="648"/>
      <c r="D4" s="648"/>
      <c r="E4" s="649"/>
      <c r="F4" s="649"/>
      <c r="G4" s="590"/>
      <c r="H4" s="649"/>
      <c r="I4" s="649"/>
      <c r="J4" s="649"/>
      <c r="K4" s="957"/>
      <c r="L4" s="650"/>
      <c r="M4" s="650"/>
      <c r="N4" s="650"/>
      <c r="O4" s="650"/>
      <c r="P4" s="650"/>
      <c r="Q4" s="650"/>
      <c r="R4" s="650"/>
      <c r="S4" s="650"/>
      <c r="T4" s="650"/>
      <c r="U4" s="650"/>
      <c r="V4" s="650"/>
      <c r="W4" s="650"/>
      <c r="X4" s="650"/>
      <c r="Y4" s="650"/>
      <c r="Z4" s="650"/>
      <c r="AA4" s="650"/>
      <c r="AB4" s="650"/>
      <c r="AC4" s="650"/>
      <c r="AD4" s="651"/>
    </row>
    <row r="5" spans="1:30" ht="12.6" customHeight="1" thickBot="1" x14ac:dyDescent="0.25">
      <c r="A5" s="648" t="s">
        <v>455</v>
      </c>
      <c r="B5" s="648"/>
      <c r="C5" s="652"/>
      <c r="E5" s="653"/>
      <c r="F5" s="653"/>
      <c r="G5" s="592"/>
      <c r="H5" s="653"/>
      <c r="I5" s="653"/>
      <c r="J5" s="653"/>
      <c r="K5" s="653"/>
      <c r="L5" s="653"/>
      <c r="M5" s="653"/>
      <c r="N5" s="653"/>
      <c r="O5" s="653"/>
      <c r="P5" s="653"/>
      <c r="Q5" s="653"/>
      <c r="R5" s="653"/>
      <c r="S5" s="653"/>
      <c r="T5" s="653"/>
      <c r="U5" s="653"/>
      <c r="V5" s="653"/>
      <c r="W5" s="653"/>
      <c r="X5" s="653"/>
      <c r="Y5" s="653"/>
      <c r="Z5" s="653"/>
      <c r="AA5" s="653"/>
      <c r="AB5" s="653"/>
      <c r="AC5" s="653"/>
      <c r="AD5" s="653"/>
    </row>
    <row r="6" spans="1:30" ht="13.5" customHeight="1" thickBot="1" x14ac:dyDescent="0.3">
      <c r="A6" s="654"/>
      <c r="B6" s="655"/>
      <c r="C6" s="656" t="s">
        <v>187</v>
      </c>
      <c r="D6" s="738"/>
      <c r="E6" s="836" t="s">
        <v>241</v>
      </c>
      <c r="F6" s="837" t="s">
        <v>292</v>
      </c>
      <c r="G6" s="838" t="s">
        <v>293</v>
      </c>
      <c r="H6" s="837" t="s">
        <v>294</v>
      </c>
      <c r="I6" s="837" t="s">
        <v>295</v>
      </c>
      <c r="J6" s="839" t="s">
        <v>296</v>
      </c>
      <c r="K6" s="837" t="s">
        <v>299</v>
      </c>
      <c r="L6" s="837" t="s">
        <v>331</v>
      </c>
      <c r="M6" s="839" t="s">
        <v>332</v>
      </c>
      <c r="N6" s="837" t="s">
        <v>242</v>
      </c>
      <c r="O6" s="837" t="s">
        <v>297</v>
      </c>
      <c r="P6" s="837" t="s">
        <v>298</v>
      </c>
      <c r="Q6" s="837" t="s">
        <v>424</v>
      </c>
      <c r="R6" s="837" t="s">
        <v>425</v>
      </c>
      <c r="S6" s="837" t="s">
        <v>426</v>
      </c>
      <c r="T6" s="837" t="s">
        <v>427</v>
      </c>
      <c r="U6" s="837" t="s">
        <v>428</v>
      </c>
      <c r="V6" s="837" t="s">
        <v>429</v>
      </c>
      <c r="W6" s="837" t="s">
        <v>430</v>
      </c>
      <c r="X6" s="837" t="s">
        <v>442</v>
      </c>
      <c r="Y6" s="837" t="s">
        <v>509</v>
      </c>
      <c r="Z6" s="837" t="s">
        <v>510</v>
      </c>
      <c r="AA6" s="837" t="s">
        <v>639</v>
      </c>
      <c r="AB6" s="837" t="s">
        <v>236</v>
      </c>
      <c r="AC6" s="837" t="s">
        <v>333</v>
      </c>
      <c r="AD6" s="838" t="s">
        <v>188</v>
      </c>
    </row>
    <row r="7" spans="1:30" s="657" customFormat="1" ht="132" customHeight="1" thickBot="1" x14ac:dyDescent="0.25">
      <c r="A7" s="728"/>
      <c r="B7" s="729"/>
      <c r="C7" s="730"/>
      <c r="D7" s="739" t="s">
        <v>125</v>
      </c>
      <c r="E7" s="729" t="s">
        <v>511</v>
      </c>
      <c r="F7" s="731" t="s">
        <v>512</v>
      </c>
      <c r="G7" s="732" t="s">
        <v>513</v>
      </c>
      <c r="H7" s="729" t="s">
        <v>300</v>
      </c>
      <c r="I7" s="729" t="s">
        <v>301</v>
      </c>
      <c r="J7" s="729" t="s">
        <v>302</v>
      </c>
      <c r="K7" s="739" t="s">
        <v>304</v>
      </c>
      <c r="L7" s="733" t="s">
        <v>335</v>
      </c>
      <c r="M7" s="734" t="s">
        <v>336</v>
      </c>
      <c r="N7" s="729" t="s">
        <v>514</v>
      </c>
      <c r="O7" s="729" t="s">
        <v>515</v>
      </c>
      <c r="P7" s="729" t="s">
        <v>303</v>
      </c>
      <c r="Q7" s="729" t="s">
        <v>516</v>
      </c>
      <c r="R7" s="729" t="s">
        <v>431</v>
      </c>
      <c r="S7" s="729" t="s">
        <v>432</v>
      </c>
      <c r="T7" s="729" t="s">
        <v>517</v>
      </c>
      <c r="U7" s="729" t="s">
        <v>518</v>
      </c>
      <c r="V7" s="729" t="s">
        <v>519</v>
      </c>
      <c r="W7" s="729" t="s">
        <v>520</v>
      </c>
      <c r="X7" s="729" t="s">
        <v>443</v>
      </c>
      <c r="Y7" s="729" t="s">
        <v>521</v>
      </c>
      <c r="Z7" s="729" t="s">
        <v>522</v>
      </c>
      <c r="AA7" s="729" t="s">
        <v>640</v>
      </c>
      <c r="AB7" s="731" t="s">
        <v>305</v>
      </c>
      <c r="AC7" s="733" t="s">
        <v>334</v>
      </c>
      <c r="AD7" s="735" t="s">
        <v>306</v>
      </c>
    </row>
    <row r="8" spans="1:30" ht="21.75" customHeight="1" thickBot="1" x14ac:dyDescent="0.25">
      <c r="A8" s="753" t="s">
        <v>7</v>
      </c>
      <c r="B8" s="675" t="s">
        <v>7</v>
      </c>
      <c r="C8" s="756" t="s">
        <v>8</v>
      </c>
      <c r="D8" s="759" t="s">
        <v>30</v>
      </c>
      <c r="E8" s="758" t="s">
        <v>247</v>
      </c>
      <c r="F8" s="754" t="s">
        <v>247</v>
      </c>
      <c r="G8" s="754" t="s">
        <v>247</v>
      </c>
      <c r="H8" s="754" t="s">
        <v>247</v>
      </c>
      <c r="I8" s="754" t="s">
        <v>247</v>
      </c>
      <c r="J8" s="754" t="s">
        <v>247</v>
      </c>
      <c r="K8" s="754" t="s">
        <v>247</v>
      </c>
      <c r="L8" s="754" t="s">
        <v>247</v>
      </c>
      <c r="M8" s="754" t="s">
        <v>247</v>
      </c>
      <c r="N8" s="754" t="s">
        <v>247</v>
      </c>
      <c r="O8" s="754" t="s">
        <v>247</v>
      </c>
      <c r="P8" s="754" t="s">
        <v>247</v>
      </c>
      <c r="Q8" s="754" t="s">
        <v>247</v>
      </c>
      <c r="R8" s="754" t="s">
        <v>247</v>
      </c>
      <c r="S8" s="754" t="s">
        <v>247</v>
      </c>
      <c r="T8" s="754" t="s">
        <v>247</v>
      </c>
      <c r="U8" s="754" t="s">
        <v>247</v>
      </c>
      <c r="V8" s="754" t="s">
        <v>247</v>
      </c>
      <c r="W8" s="754" t="s">
        <v>247</v>
      </c>
      <c r="X8" s="754" t="s">
        <v>247</v>
      </c>
      <c r="Y8" s="754" t="s">
        <v>247</v>
      </c>
      <c r="Z8" s="754" t="s">
        <v>247</v>
      </c>
      <c r="AA8" s="754" t="s">
        <v>247</v>
      </c>
      <c r="AB8" s="754" t="s">
        <v>247</v>
      </c>
      <c r="AC8" s="754" t="s">
        <v>247</v>
      </c>
      <c r="AD8" s="755" t="s">
        <v>247</v>
      </c>
    </row>
    <row r="9" spans="1:30" s="658" customFormat="1" ht="16.5" customHeight="1" x14ac:dyDescent="0.2">
      <c r="A9" s="659"/>
      <c r="B9" s="660"/>
      <c r="C9" s="757" t="s">
        <v>210</v>
      </c>
      <c r="D9" s="760">
        <f>SUM(E9:AD9)</f>
        <v>380765.86</v>
      </c>
      <c r="E9" s="958">
        <v>36515</v>
      </c>
      <c r="F9" s="959">
        <v>85616</v>
      </c>
      <c r="G9" s="959"/>
      <c r="H9" s="959">
        <f>5903-1980</f>
        <v>3923</v>
      </c>
      <c r="I9" s="959">
        <v>1511</v>
      </c>
      <c r="J9" s="959">
        <v>6992</v>
      </c>
      <c r="K9" s="959">
        <v>0</v>
      </c>
      <c r="L9" s="959">
        <v>1713</v>
      </c>
      <c r="M9" s="959">
        <v>0</v>
      </c>
      <c r="N9" s="959">
        <v>45043</v>
      </c>
      <c r="O9" s="959">
        <v>3656</v>
      </c>
      <c r="P9" s="959">
        <v>1557.6</v>
      </c>
      <c r="Q9" s="959">
        <v>3852.26</v>
      </c>
      <c r="R9" s="959">
        <v>8924</v>
      </c>
      <c r="S9" s="959">
        <v>21664</v>
      </c>
      <c r="T9" s="959">
        <v>22954</v>
      </c>
      <c r="U9" s="959">
        <v>21617</v>
      </c>
      <c r="V9" s="959">
        <v>26560</v>
      </c>
      <c r="W9" s="959">
        <v>16368</v>
      </c>
      <c r="X9" s="959"/>
      <c r="Y9" s="959">
        <v>20025.599999999999</v>
      </c>
      <c r="Z9" s="959">
        <v>26222.400000000001</v>
      </c>
      <c r="AA9" s="959"/>
      <c r="AB9" s="959">
        <v>3873</v>
      </c>
      <c r="AC9" s="959">
        <v>11195</v>
      </c>
      <c r="AD9" s="960">
        <v>10984</v>
      </c>
    </row>
    <row r="10" spans="1:30" ht="16.5" customHeight="1" x14ac:dyDescent="0.2">
      <c r="A10" s="674"/>
      <c r="B10" s="661"/>
      <c r="C10" s="725" t="s">
        <v>307</v>
      </c>
      <c r="D10" s="761">
        <f>SUM(E10:AD10)</f>
        <v>8234</v>
      </c>
      <c r="E10" s="961"/>
      <c r="F10" s="727"/>
      <c r="G10" s="727"/>
      <c r="H10" s="727"/>
      <c r="I10" s="727"/>
      <c r="J10" s="727"/>
      <c r="K10" s="727">
        <v>8234</v>
      </c>
      <c r="L10" s="727"/>
      <c r="M10" s="727"/>
      <c r="N10" s="727"/>
      <c r="O10" s="727"/>
      <c r="P10" s="727"/>
      <c r="Q10" s="727"/>
      <c r="R10" s="727"/>
      <c r="S10" s="727"/>
      <c r="T10" s="727"/>
      <c r="U10" s="727"/>
      <c r="V10" s="727"/>
      <c r="W10" s="727"/>
      <c r="X10" s="727"/>
      <c r="Y10" s="727"/>
      <c r="Z10" s="727"/>
      <c r="AA10" s="727"/>
      <c r="AB10" s="727"/>
      <c r="AC10" s="727"/>
      <c r="AD10" s="962"/>
    </row>
    <row r="11" spans="1:30" s="658" customFormat="1" ht="14.25" customHeight="1" x14ac:dyDescent="0.2">
      <c r="A11" s="676"/>
      <c r="B11" s="677"/>
      <c r="C11" s="725" t="s">
        <v>67</v>
      </c>
      <c r="D11" s="761">
        <f>D12+D13+D14</f>
        <v>434758</v>
      </c>
      <c r="E11" s="961">
        <f t="shared" ref="E11:AD11" si="0">E12+E13+E14</f>
        <v>5328</v>
      </c>
      <c r="F11" s="727">
        <f t="shared" si="0"/>
        <v>169670</v>
      </c>
      <c r="G11" s="727">
        <f t="shared" si="0"/>
        <v>55692</v>
      </c>
      <c r="H11" s="727">
        <f t="shared" si="0"/>
        <v>0</v>
      </c>
      <c r="I11" s="727">
        <f t="shared" si="0"/>
        <v>6381</v>
      </c>
      <c r="J11" s="727">
        <f t="shared" si="0"/>
        <v>4717</v>
      </c>
      <c r="K11" s="727">
        <f>K12+K13+K14</f>
        <v>0</v>
      </c>
      <c r="L11" s="727">
        <f>L12+L13+L14</f>
        <v>3825</v>
      </c>
      <c r="M11" s="727">
        <f t="shared" si="0"/>
        <v>5249</v>
      </c>
      <c r="N11" s="727">
        <f t="shared" si="0"/>
        <v>32677</v>
      </c>
      <c r="O11" s="727">
        <f t="shared" si="0"/>
        <v>0</v>
      </c>
      <c r="P11" s="727">
        <f t="shared" si="0"/>
        <v>2980</v>
      </c>
      <c r="Q11" s="727">
        <f t="shared" si="0"/>
        <v>429</v>
      </c>
      <c r="R11" s="727">
        <f t="shared" si="0"/>
        <v>2231</v>
      </c>
      <c r="S11" s="727">
        <f t="shared" si="0"/>
        <v>0</v>
      </c>
      <c r="T11" s="727">
        <f t="shared" si="0"/>
        <v>0</v>
      </c>
      <c r="U11" s="727">
        <f t="shared" si="0"/>
        <v>0</v>
      </c>
      <c r="V11" s="727">
        <f t="shared" si="0"/>
        <v>0</v>
      </c>
      <c r="W11" s="727">
        <f t="shared" si="0"/>
        <v>0</v>
      </c>
      <c r="X11" s="727">
        <f t="shared" si="0"/>
        <v>1253</v>
      </c>
      <c r="Y11" s="727">
        <f t="shared" si="0"/>
        <v>0</v>
      </c>
      <c r="Z11" s="727">
        <f t="shared" si="0"/>
        <v>0</v>
      </c>
      <c r="AA11" s="727">
        <f t="shared" si="0"/>
        <v>57379</v>
      </c>
      <c r="AB11" s="727">
        <f t="shared" si="0"/>
        <v>22477</v>
      </c>
      <c r="AC11" s="727">
        <f t="shared" si="0"/>
        <v>21654</v>
      </c>
      <c r="AD11" s="962">
        <f t="shared" si="0"/>
        <v>42816</v>
      </c>
    </row>
    <row r="12" spans="1:30" ht="16.5" customHeight="1" x14ac:dyDescent="0.2">
      <c r="A12" s="447" t="s">
        <v>404</v>
      </c>
      <c r="B12" s="661"/>
      <c r="C12" s="725" t="s">
        <v>219</v>
      </c>
      <c r="D12" s="762">
        <f>SUM(E12:AD12)</f>
        <v>316609</v>
      </c>
      <c r="E12" s="961">
        <f>41843-36515</f>
        <v>5328</v>
      </c>
      <c r="F12" s="727">
        <f>119646-85616+135640</f>
        <v>169670</v>
      </c>
      <c r="G12" s="727"/>
      <c r="H12" s="727">
        <f>5587-5587</f>
        <v>0</v>
      </c>
      <c r="I12" s="727">
        <v>6381</v>
      </c>
      <c r="J12" s="727">
        <v>4717</v>
      </c>
      <c r="K12" s="727"/>
      <c r="L12" s="727"/>
      <c r="M12" s="727">
        <f>4049+1200</f>
        <v>5249</v>
      </c>
      <c r="N12" s="727">
        <f>77720-45043</f>
        <v>32677</v>
      </c>
      <c r="O12" s="727"/>
      <c r="P12" s="727">
        <v>2980</v>
      </c>
      <c r="Q12" s="727">
        <v>429</v>
      </c>
      <c r="R12" s="727">
        <v>2231</v>
      </c>
      <c r="S12" s="727"/>
      <c r="T12" s="727"/>
      <c r="U12" s="727"/>
      <c r="V12" s="727"/>
      <c r="W12" s="727"/>
      <c r="X12" s="727"/>
      <c r="Y12" s="727"/>
      <c r="Z12" s="727"/>
      <c r="AA12" s="727"/>
      <c r="AB12" s="727">
        <f>26350-3873</f>
        <v>22477</v>
      </c>
      <c r="AC12" s="727">
        <f>19128-11195+13721</f>
        <v>21654</v>
      </c>
      <c r="AD12" s="962">
        <f>53800-10984</f>
        <v>42816</v>
      </c>
    </row>
    <row r="13" spans="1:30" ht="12.6" customHeight="1" x14ac:dyDescent="0.2">
      <c r="A13" s="447" t="s">
        <v>405</v>
      </c>
      <c r="B13" s="661"/>
      <c r="C13" s="725" t="s">
        <v>40</v>
      </c>
      <c r="D13" s="762">
        <f>SUM(E13:AD13)</f>
        <v>113071</v>
      </c>
      <c r="E13" s="963"/>
      <c r="F13" s="964"/>
      <c r="G13" s="964">
        <v>55692</v>
      </c>
      <c r="H13" s="964"/>
      <c r="I13" s="964"/>
      <c r="J13" s="964"/>
      <c r="K13" s="964"/>
      <c r="L13" s="964"/>
      <c r="M13" s="964"/>
      <c r="N13" s="964"/>
      <c r="O13" s="964"/>
      <c r="P13" s="964"/>
      <c r="Q13" s="964"/>
      <c r="R13" s="964"/>
      <c r="S13" s="964"/>
      <c r="T13" s="964"/>
      <c r="U13" s="964"/>
      <c r="V13" s="964"/>
      <c r="W13" s="964"/>
      <c r="X13" s="964"/>
      <c r="Y13" s="964"/>
      <c r="Z13" s="964"/>
      <c r="AA13" s="964">
        <v>57379</v>
      </c>
      <c r="AB13" s="964"/>
      <c r="AC13" s="964"/>
      <c r="AD13" s="965"/>
    </row>
    <row r="14" spans="1:30" ht="12.6" customHeight="1" thickBot="1" x14ac:dyDescent="0.25">
      <c r="A14" s="447" t="s">
        <v>406</v>
      </c>
      <c r="B14" s="663"/>
      <c r="C14" s="672" t="s">
        <v>9</v>
      </c>
      <c r="D14" s="763">
        <f>SUM(E14:AD14)</f>
        <v>5078</v>
      </c>
      <c r="E14" s="966"/>
      <c r="F14" s="662"/>
      <c r="G14" s="967"/>
      <c r="H14" s="968"/>
      <c r="I14" s="662"/>
      <c r="J14" s="662"/>
      <c r="K14" s="662"/>
      <c r="L14" s="662">
        <v>3825</v>
      </c>
      <c r="M14" s="662"/>
      <c r="N14" s="662"/>
      <c r="O14" s="662"/>
      <c r="P14" s="662"/>
      <c r="Q14" s="662"/>
      <c r="R14" s="662"/>
      <c r="S14" s="662"/>
      <c r="T14" s="662"/>
      <c r="U14" s="662"/>
      <c r="V14" s="662"/>
      <c r="W14" s="662"/>
      <c r="X14" s="662">
        <v>1253</v>
      </c>
      <c r="Y14" s="662"/>
      <c r="Z14" s="662"/>
      <c r="AA14" s="662"/>
      <c r="AB14" s="662"/>
      <c r="AC14" s="967"/>
      <c r="AD14" s="969"/>
    </row>
    <row r="15" spans="1:30" s="666" customFormat="1" ht="15.75" customHeight="1" thickBot="1" x14ac:dyDescent="0.3">
      <c r="A15" s="664"/>
      <c r="B15" s="665"/>
      <c r="C15" s="736" t="s">
        <v>39</v>
      </c>
      <c r="D15" s="740">
        <f>SUM(D10:D11)</f>
        <v>442992</v>
      </c>
      <c r="E15" s="970">
        <f t="shared" ref="E15:AD15" si="1">SUM(E10:E11)</f>
        <v>5328</v>
      </c>
      <c r="F15" s="740">
        <f t="shared" si="1"/>
        <v>169670</v>
      </c>
      <c r="G15" s="740">
        <f t="shared" si="1"/>
        <v>55692</v>
      </c>
      <c r="H15" s="740">
        <f t="shared" si="1"/>
        <v>0</v>
      </c>
      <c r="I15" s="740">
        <f t="shared" si="1"/>
        <v>6381</v>
      </c>
      <c r="J15" s="740">
        <f t="shared" si="1"/>
        <v>4717</v>
      </c>
      <c r="K15" s="740">
        <f>SUM(K10:K11)</f>
        <v>8234</v>
      </c>
      <c r="L15" s="740">
        <f>SUM(L10:L11)</f>
        <v>3825</v>
      </c>
      <c r="M15" s="740">
        <f t="shared" si="1"/>
        <v>5249</v>
      </c>
      <c r="N15" s="740">
        <f t="shared" si="1"/>
        <v>32677</v>
      </c>
      <c r="O15" s="740">
        <f>SUM(O10:O11)</f>
        <v>0</v>
      </c>
      <c r="P15" s="740">
        <f>SUM(P10:P11)</f>
        <v>2980</v>
      </c>
      <c r="Q15" s="740">
        <f t="shared" ref="Q15:AA15" si="2">SUM(Q10:Q11)</f>
        <v>429</v>
      </c>
      <c r="R15" s="740">
        <f t="shared" si="2"/>
        <v>2231</v>
      </c>
      <c r="S15" s="740">
        <f t="shared" si="2"/>
        <v>0</v>
      </c>
      <c r="T15" s="740">
        <f t="shared" si="2"/>
        <v>0</v>
      </c>
      <c r="U15" s="740">
        <f t="shared" si="2"/>
        <v>0</v>
      </c>
      <c r="V15" s="740">
        <f t="shared" si="2"/>
        <v>0</v>
      </c>
      <c r="W15" s="740">
        <f t="shared" si="2"/>
        <v>0</v>
      </c>
      <c r="X15" s="740">
        <f t="shared" si="2"/>
        <v>1253</v>
      </c>
      <c r="Y15" s="740">
        <f t="shared" si="2"/>
        <v>0</v>
      </c>
      <c r="Z15" s="740">
        <f t="shared" si="2"/>
        <v>0</v>
      </c>
      <c r="AA15" s="740">
        <f t="shared" si="2"/>
        <v>57379</v>
      </c>
      <c r="AB15" s="740">
        <f t="shared" si="1"/>
        <v>22477</v>
      </c>
      <c r="AC15" s="740">
        <f>SUM(AC10:AC11)</f>
        <v>21654</v>
      </c>
      <c r="AD15" s="740">
        <f t="shared" si="1"/>
        <v>42816</v>
      </c>
    </row>
    <row r="16" spans="1:30" s="666" customFormat="1" ht="15" customHeight="1" thickBot="1" x14ac:dyDescent="0.3">
      <c r="A16" s="667"/>
      <c r="B16" s="668"/>
      <c r="C16" s="737" t="s">
        <v>212</v>
      </c>
      <c r="D16" s="741">
        <f t="shared" ref="D16:AD16" si="3">SUM(D9+D15)</f>
        <v>823757.86</v>
      </c>
      <c r="E16" s="971">
        <f t="shared" si="3"/>
        <v>41843</v>
      </c>
      <c r="F16" s="741">
        <f t="shared" si="3"/>
        <v>255286</v>
      </c>
      <c r="G16" s="741">
        <f t="shared" si="3"/>
        <v>55692</v>
      </c>
      <c r="H16" s="741">
        <f t="shared" si="3"/>
        <v>3923</v>
      </c>
      <c r="I16" s="741">
        <f t="shared" si="3"/>
        <v>7892</v>
      </c>
      <c r="J16" s="741">
        <f t="shared" si="3"/>
        <v>11709</v>
      </c>
      <c r="K16" s="741">
        <f>SUM(K9+K15)</f>
        <v>8234</v>
      </c>
      <c r="L16" s="741">
        <f t="shared" si="3"/>
        <v>5538</v>
      </c>
      <c r="M16" s="741">
        <f t="shared" si="3"/>
        <v>5249</v>
      </c>
      <c r="N16" s="741">
        <f t="shared" si="3"/>
        <v>77720</v>
      </c>
      <c r="O16" s="741">
        <f>SUM(O9+O15)</f>
        <v>3656</v>
      </c>
      <c r="P16" s="741">
        <f>SUM(P9+P15)</f>
        <v>4537.6000000000004</v>
      </c>
      <c r="Q16" s="741">
        <f t="shared" ref="Q16:AA16" si="4">SUM(Q9+Q15)</f>
        <v>4281.26</v>
      </c>
      <c r="R16" s="741">
        <f t="shared" si="4"/>
        <v>11155</v>
      </c>
      <c r="S16" s="741">
        <f t="shared" si="4"/>
        <v>21664</v>
      </c>
      <c r="T16" s="741">
        <f t="shared" si="4"/>
        <v>22954</v>
      </c>
      <c r="U16" s="741">
        <f t="shared" si="4"/>
        <v>21617</v>
      </c>
      <c r="V16" s="741">
        <f t="shared" si="4"/>
        <v>26560</v>
      </c>
      <c r="W16" s="741">
        <f t="shared" si="4"/>
        <v>16368</v>
      </c>
      <c r="X16" s="741">
        <f t="shared" si="4"/>
        <v>1253</v>
      </c>
      <c r="Y16" s="741">
        <f t="shared" si="4"/>
        <v>20025.599999999999</v>
      </c>
      <c r="Z16" s="741">
        <f t="shared" si="4"/>
        <v>26222.400000000001</v>
      </c>
      <c r="AA16" s="741">
        <f t="shared" si="4"/>
        <v>57379</v>
      </c>
      <c r="AB16" s="741">
        <f t="shared" si="3"/>
        <v>26350</v>
      </c>
      <c r="AC16" s="741">
        <f>SUM(AC9+AC15)</f>
        <v>32849</v>
      </c>
      <c r="AD16" s="741">
        <f t="shared" si="3"/>
        <v>53800</v>
      </c>
    </row>
    <row r="17" spans="1:30" ht="12.6" customHeight="1" outlineLevel="1" thickBot="1" x14ac:dyDescent="0.25">
      <c r="D17" s="742"/>
      <c r="E17" s="742"/>
      <c r="F17" s="742"/>
      <c r="G17" s="742"/>
      <c r="H17" s="742"/>
      <c r="I17" s="742"/>
      <c r="J17" s="742"/>
      <c r="K17" s="742"/>
      <c r="L17" s="742"/>
      <c r="M17" s="742"/>
      <c r="N17" s="742"/>
      <c r="O17" s="742"/>
      <c r="P17" s="742"/>
      <c r="Q17" s="742"/>
      <c r="R17" s="742"/>
      <c r="S17" s="742"/>
      <c r="T17" s="742"/>
      <c r="U17" s="742"/>
      <c r="V17" s="742"/>
      <c r="W17" s="742"/>
      <c r="X17" s="742"/>
      <c r="Y17" s="742"/>
      <c r="Z17" s="742"/>
      <c r="AA17" s="742"/>
      <c r="AB17" s="742"/>
      <c r="AC17" s="742"/>
      <c r="AD17" s="742"/>
    </row>
    <row r="18" spans="1:30" ht="16.5" customHeight="1" outlineLevel="1" thickBot="1" x14ac:dyDescent="0.25">
      <c r="A18" s="753" t="s">
        <v>7</v>
      </c>
      <c r="B18" s="675" t="s">
        <v>7</v>
      </c>
      <c r="C18" s="756" t="s">
        <v>10</v>
      </c>
      <c r="D18" s="770" t="s">
        <v>30</v>
      </c>
      <c r="E18" s="972" t="s">
        <v>247</v>
      </c>
      <c r="F18" s="973" t="s">
        <v>247</v>
      </c>
      <c r="G18" s="973" t="s">
        <v>247</v>
      </c>
      <c r="H18" s="973" t="s">
        <v>247</v>
      </c>
      <c r="I18" s="973" t="s">
        <v>247</v>
      </c>
      <c r="J18" s="973" t="s">
        <v>247</v>
      </c>
      <c r="K18" s="973" t="s">
        <v>247</v>
      </c>
      <c r="L18" s="973" t="s">
        <v>247</v>
      </c>
      <c r="M18" s="973" t="s">
        <v>247</v>
      </c>
      <c r="N18" s="973" t="s">
        <v>247</v>
      </c>
      <c r="O18" s="973" t="s">
        <v>247</v>
      </c>
      <c r="P18" s="973" t="s">
        <v>247</v>
      </c>
      <c r="Q18" s="973" t="s">
        <v>247</v>
      </c>
      <c r="R18" s="973" t="s">
        <v>247</v>
      </c>
      <c r="S18" s="973" t="s">
        <v>247</v>
      </c>
      <c r="T18" s="973" t="s">
        <v>247</v>
      </c>
      <c r="U18" s="973" t="s">
        <v>247</v>
      </c>
      <c r="V18" s="973" t="s">
        <v>247</v>
      </c>
      <c r="W18" s="973" t="s">
        <v>247</v>
      </c>
      <c r="X18" s="973" t="s">
        <v>247</v>
      </c>
      <c r="Y18" s="973" t="s">
        <v>247</v>
      </c>
      <c r="Z18" s="973" t="s">
        <v>247</v>
      </c>
      <c r="AA18" s="973" t="s">
        <v>247</v>
      </c>
      <c r="AB18" s="973" t="s">
        <v>247</v>
      </c>
      <c r="AC18" s="973" t="s">
        <v>247</v>
      </c>
      <c r="AD18" s="974" t="s">
        <v>247</v>
      </c>
    </row>
    <row r="19" spans="1:30" s="658" customFormat="1" ht="12.6" customHeight="1" outlineLevel="1" x14ac:dyDescent="0.2">
      <c r="A19" s="751">
        <v>1100</v>
      </c>
      <c r="B19" s="752"/>
      <c r="C19" s="678" t="s">
        <v>11</v>
      </c>
      <c r="D19" s="760">
        <f>SUM(E19:AD19)</f>
        <v>337966</v>
      </c>
      <c r="E19" s="958">
        <v>28520</v>
      </c>
      <c r="F19" s="959">
        <f>93020+97095</f>
        <v>190115</v>
      </c>
      <c r="G19" s="959">
        <v>0</v>
      </c>
      <c r="H19" s="959">
        <f>1250+291</f>
        <v>1541</v>
      </c>
      <c r="I19" s="959">
        <v>0</v>
      </c>
      <c r="J19" s="959">
        <v>645</v>
      </c>
      <c r="K19" s="959">
        <v>0</v>
      </c>
      <c r="L19" s="959">
        <v>0</v>
      </c>
      <c r="M19" s="959">
        <v>2871</v>
      </c>
      <c r="N19" s="959">
        <v>62400</v>
      </c>
      <c r="O19" s="959">
        <v>0</v>
      </c>
      <c r="P19" s="959">
        <v>0</v>
      </c>
      <c r="Q19" s="959">
        <v>105</v>
      </c>
      <c r="R19" s="959">
        <v>0</v>
      </c>
      <c r="S19" s="959">
        <v>0</v>
      </c>
      <c r="T19" s="959">
        <v>1612</v>
      </c>
      <c r="U19" s="959">
        <v>1612</v>
      </c>
      <c r="V19" s="959">
        <v>1612</v>
      </c>
      <c r="W19" s="959">
        <v>1612</v>
      </c>
      <c r="X19" s="959">
        <v>1011</v>
      </c>
      <c r="Y19" s="959">
        <v>0</v>
      </c>
      <c r="Z19" s="959">
        <v>1937</v>
      </c>
      <c r="AA19" s="959">
        <v>14062</v>
      </c>
      <c r="AB19" s="959">
        <v>1400</v>
      </c>
      <c r="AC19" s="959">
        <f>5000+911</f>
        <v>5911</v>
      </c>
      <c r="AD19" s="960">
        <v>21000</v>
      </c>
    </row>
    <row r="20" spans="1:30" s="658" customFormat="1" ht="12.6" customHeight="1" outlineLevel="1" x14ac:dyDescent="0.2">
      <c r="A20" s="747">
        <v>1200</v>
      </c>
      <c r="B20" s="726"/>
      <c r="C20" s="764" t="s">
        <v>12</v>
      </c>
      <c r="D20" s="761">
        <f>SUM(E20:AD20)</f>
        <v>79790</v>
      </c>
      <c r="E20" s="961">
        <v>6869</v>
      </c>
      <c r="F20" s="727">
        <f>21946+22905</f>
        <v>44851</v>
      </c>
      <c r="G20" s="727">
        <v>0</v>
      </c>
      <c r="H20" s="727">
        <f>300+63</f>
        <v>363</v>
      </c>
      <c r="I20" s="727">
        <v>0</v>
      </c>
      <c r="J20" s="727">
        <v>155</v>
      </c>
      <c r="K20" s="727">
        <v>0</v>
      </c>
      <c r="L20" s="727">
        <v>0</v>
      </c>
      <c r="M20" s="727">
        <v>678</v>
      </c>
      <c r="N20" s="727">
        <v>14820</v>
      </c>
      <c r="O20" s="727">
        <v>0</v>
      </c>
      <c r="P20" s="727">
        <v>0</v>
      </c>
      <c r="Q20" s="727">
        <v>25</v>
      </c>
      <c r="R20" s="727">
        <v>0</v>
      </c>
      <c r="S20" s="727">
        <v>0</v>
      </c>
      <c r="T20" s="727">
        <v>388</v>
      </c>
      <c r="U20" s="727">
        <v>388</v>
      </c>
      <c r="V20" s="727">
        <v>388</v>
      </c>
      <c r="W20" s="727">
        <v>388</v>
      </c>
      <c r="X20" s="727">
        <v>242</v>
      </c>
      <c r="Y20" s="727">
        <v>0</v>
      </c>
      <c r="Z20" s="727">
        <v>463</v>
      </c>
      <c r="AA20" s="727">
        <v>3317</v>
      </c>
      <c r="AB20" s="727">
        <v>350</v>
      </c>
      <c r="AC20" s="727">
        <f>1180+225</f>
        <v>1405</v>
      </c>
      <c r="AD20" s="962">
        <v>4700</v>
      </c>
    </row>
    <row r="21" spans="1:30" s="658" customFormat="1" ht="12.6" customHeight="1" outlineLevel="1" x14ac:dyDescent="0.2">
      <c r="A21" s="747">
        <v>2000</v>
      </c>
      <c r="B21" s="726"/>
      <c r="C21" s="725" t="s">
        <v>13</v>
      </c>
      <c r="D21" s="761">
        <f t="shared" ref="D21:AD21" si="5">SUM(D22+D23+D24+D25+D26)</f>
        <v>334862</v>
      </c>
      <c r="E21" s="961">
        <f t="shared" si="5"/>
        <v>6454</v>
      </c>
      <c r="F21" s="727">
        <f t="shared" si="5"/>
        <v>1000</v>
      </c>
      <c r="G21" s="727">
        <f t="shared" si="5"/>
        <v>55692</v>
      </c>
      <c r="H21" s="727">
        <f t="shared" si="5"/>
        <v>1300</v>
      </c>
      <c r="I21" s="727">
        <f t="shared" si="5"/>
        <v>7892</v>
      </c>
      <c r="J21" s="727">
        <f t="shared" si="5"/>
        <v>10909</v>
      </c>
      <c r="K21" s="727">
        <f t="shared" si="5"/>
        <v>8234</v>
      </c>
      <c r="L21" s="727">
        <f t="shared" si="5"/>
        <v>5538</v>
      </c>
      <c r="M21" s="727">
        <f t="shared" si="5"/>
        <v>1700</v>
      </c>
      <c r="N21" s="727">
        <f t="shared" si="5"/>
        <v>500</v>
      </c>
      <c r="O21" s="727">
        <f t="shared" si="5"/>
        <v>3656</v>
      </c>
      <c r="P21" s="727">
        <f t="shared" si="5"/>
        <v>3938</v>
      </c>
      <c r="Q21" s="727">
        <f t="shared" si="5"/>
        <v>4151</v>
      </c>
      <c r="R21" s="727">
        <f t="shared" si="5"/>
        <v>11155</v>
      </c>
      <c r="S21" s="727">
        <f t="shared" si="5"/>
        <v>21664</v>
      </c>
      <c r="T21" s="727">
        <f t="shared" si="5"/>
        <v>20954</v>
      </c>
      <c r="U21" s="727">
        <f t="shared" si="5"/>
        <v>19617</v>
      </c>
      <c r="V21" s="727">
        <f t="shared" si="5"/>
        <v>24560</v>
      </c>
      <c r="W21" s="727">
        <f t="shared" si="5"/>
        <v>14368</v>
      </c>
      <c r="X21" s="727">
        <f t="shared" si="5"/>
        <v>0</v>
      </c>
      <c r="Y21" s="727">
        <f t="shared" si="5"/>
        <v>20026</v>
      </c>
      <c r="Z21" s="727">
        <f t="shared" si="5"/>
        <v>23822</v>
      </c>
      <c r="AA21" s="727">
        <f t="shared" si="5"/>
        <v>40000</v>
      </c>
      <c r="AB21" s="727">
        <f t="shared" si="5"/>
        <v>24600</v>
      </c>
      <c r="AC21" s="727">
        <f t="shared" si="5"/>
        <v>3132</v>
      </c>
      <c r="AD21" s="962">
        <f t="shared" si="5"/>
        <v>0</v>
      </c>
    </row>
    <row r="22" spans="1:30" s="658" customFormat="1" ht="12.6" customHeight="1" outlineLevel="1" x14ac:dyDescent="0.2">
      <c r="A22" s="747">
        <v>2100</v>
      </c>
      <c r="B22" s="726"/>
      <c r="C22" s="725" t="s">
        <v>14</v>
      </c>
      <c r="D22" s="761">
        <f t="shared" ref="D22:D32" si="6">SUM(E22:AD22)</f>
        <v>128884</v>
      </c>
      <c r="E22" s="961">
        <v>936</v>
      </c>
      <c r="F22" s="727">
        <v>0</v>
      </c>
      <c r="G22" s="727">
        <v>0</v>
      </c>
      <c r="H22" s="727">
        <f>8000-8000</f>
        <v>0</v>
      </c>
      <c r="I22" s="727">
        <v>4000</v>
      </c>
      <c r="J22" s="727">
        <v>8954</v>
      </c>
      <c r="K22" s="727">
        <v>0</v>
      </c>
      <c r="L22" s="727">
        <v>5301</v>
      </c>
      <c r="M22" s="727">
        <v>0</v>
      </c>
      <c r="N22" s="727">
        <v>0</v>
      </c>
      <c r="O22" s="727">
        <v>0</v>
      </c>
      <c r="P22" s="727">
        <v>3343</v>
      </c>
      <c r="Q22" s="727">
        <v>0</v>
      </c>
      <c r="R22" s="727">
        <v>7105</v>
      </c>
      <c r="S22" s="727">
        <v>7000</v>
      </c>
      <c r="T22" s="727">
        <v>17954</v>
      </c>
      <c r="U22" s="727">
        <v>15617</v>
      </c>
      <c r="V22" s="727">
        <v>20560</v>
      </c>
      <c r="W22" s="727">
        <v>10368</v>
      </c>
      <c r="X22" s="727">
        <v>0</v>
      </c>
      <c r="Y22" s="727">
        <v>19032</v>
      </c>
      <c r="Z22" s="727">
        <v>8714</v>
      </c>
      <c r="AA22" s="727"/>
      <c r="AB22" s="727">
        <v>0</v>
      </c>
      <c r="AC22" s="727">
        <v>0</v>
      </c>
      <c r="AD22" s="962">
        <v>0</v>
      </c>
    </row>
    <row r="23" spans="1:30" ht="12.6" customHeight="1" outlineLevel="1" x14ac:dyDescent="0.2">
      <c r="A23" s="748">
        <v>2200</v>
      </c>
      <c r="B23" s="661"/>
      <c r="C23" s="673" t="s">
        <v>15</v>
      </c>
      <c r="D23" s="761">
        <f t="shared" si="6"/>
        <v>150242</v>
      </c>
      <c r="E23" s="961">
        <f>5318-1500</f>
        <v>3818</v>
      </c>
      <c r="F23" s="727">
        <v>1000</v>
      </c>
      <c r="G23" s="727">
        <v>55692</v>
      </c>
      <c r="H23" s="727">
        <f>1940-1940</f>
        <v>0</v>
      </c>
      <c r="I23" s="727">
        <v>3000</v>
      </c>
      <c r="J23" s="727">
        <v>1205</v>
      </c>
      <c r="K23" s="727">
        <v>8234</v>
      </c>
      <c r="L23" s="727">
        <v>0</v>
      </c>
      <c r="M23" s="727">
        <v>600</v>
      </c>
      <c r="N23" s="727">
        <v>500</v>
      </c>
      <c r="O23" s="727">
        <v>3656</v>
      </c>
      <c r="P23" s="727">
        <v>115</v>
      </c>
      <c r="Q23" s="727">
        <v>2500</v>
      </c>
      <c r="R23" s="727">
        <v>4050</v>
      </c>
      <c r="S23" s="727">
        <v>8664</v>
      </c>
      <c r="T23" s="727">
        <v>2000</v>
      </c>
      <c r="U23" s="727">
        <v>2000</v>
      </c>
      <c r="V23" s="727">
        <v>2000</v>
      </c>
      <c r="W23" s="727">
        <v>2000</v>
      </c>
      <c r="X23" s="727">
        <v>0</v>
      </c>
      <c r="Y23" s="727">
        <v>500</v>
      </c>
      <c r="Z23" s="727">
        <v>15108</v>
      </c>
      <c r="AA23" s="727">
        <v>11000</v>
      </c>
      <c r="AB23" s="727">
        <v>22600</v>
      </c>
      <c r="AC23" s="727">
        <v>0</v>
      </c>
      <c r="AD23" s="962">
        <v>0</v>
      </c>
    </row>
    <row r="24" spans="1:30" s="658" customFormat="1" ht="12" customHeight="1" outlineLevel="1" x14ac:dyDescent="0.2">
      <c r="A24" s="747">
        <v>2300</v>
      </c>
      <c r="B24" s="726"/>
      <c r="C24" s="725" t="s">
        <v>16</v>
      </c>
      <c r="D24" s="761">
        <f t="shared" si="6"/>
        <v>55736</v>
      </c>
      <c r="E24" s="961">
        <f>200+1500</f>
        <v>1700</v>
      </c>
      <c r="F24" s="727">
        <v>0</v>
      </c>
      <c r="G24" s="727">
        <v>0</v>
      </c>
      <c r="H24" s="727">
        <v>1300</v>
      </c>
      <c r="I24" s="727">
        <v>892</v>
      </c>
      <c r="J24" s="727">
        <v>750</v>
      </c>
      <c r="K24" s="727">
        <v>0</v>
      </c>
      <c r="L24" s="727">
        <v>237</v>
      </c>
      <c r="M24" s="727">
        <v>1100</v>
      </c>
      <c r="N24" s="727">
        <v>0</v>
      </c>
      <c r="O24" s="727">
        <v>0</v>
      </c>
      <c r="P24" s="727">
        <v>480</v>
      </c>
      <c r="Q24" s="727">
        <v>1651</v>
      </c>
      <c r="R24" s="727">
        <v>0</v>
      </c>
      <c r="S24" s="727">
        <v>6000</v>
      </c>
      <c r="T24" s="727">
        <v>1000</v>
      </c>
      <c r="U24" s="727">
        <v>2000</v>
      </c>
      <c r="V24" s="727">
        <v>2000</v>
      </c>
      <c r="W24" s="727">
        <v>2000</v>
      </c>
      <c r="X24" s="727">
        <v>0</v>
      </c>
      <c r="Y24" s="727">
        <v>494</v>
      </c>
      <c r="Z24" s="727">
        <v>0</v>
      </c>
      <c r="AA24" s="727">
        <v>29000</v>
      </c>
      <c r="AB24" s="727">
        <v>2000</v>
      </c>
      <c r="AC24" s="727">
        <v>3132</v>
      </c>
      <c r="AD24" s="962">
        <v>0</v>
      </c>
    </row>
    <row r="25" spans="1:30" s="658" customFormat="1" ht="12.6" hidden="1" customHeight="1" outlineLevel="1" x14ac:dyDescent="0.2">
      <c r="A25" s="747">
        <v>2400</v>
      </c>
      <c r="B25" s="726"/>
      <c r="C25" s="725" t="s">
        <v>213</v>
      </c>
      <c r="D25" s="761">
        <f t="shared" si="6"/>
        <v>0</v>
      </c>
      <c r="E25" s="961"/>
      <c r="F25" s="727"/>
      <c r="G25" s="727"/>
      <c r="H25" s="727"/>
      <c r="I25" s="727"/>
      <c r="J25" s="727"/>
      <c r="K25" s="727"/>
      <c r="L25" s="727"/>
      <c r="M25" s="727"/>
      <c r="N25" s="727"/>
      <c r="O25" s="727"/>
      <c r="P25" s="727"/>
      <c r="Q25" s="727"/>
      <c r="R25" s="727"/>
      <c r="S25" s="727"/>
      <c r="T25" s="727"/>
      <c r="U25" s="727"/>
      <c r="V25" s="727"/>
      <c r="W25" s="727"/>
      <c r="X25" s="727"/>
      <c r="Y25" s="727"/>
      <c r="Z25" s="727"/>
      <c r="AA25" s="727"/>
      <c r="AB25" s="727"/>
      <c r="AC25" s="727"/>
      <c r="AD25" s="962"/>
    </row>
    <row r="26" spans="1:30" s="658" customFormat="1" ht="24" hidden="1" outlineLevel="1" x14ac:dyDescent="0.2">
      <c r="A26" s="747">
        <v>2500</v>
      </c>
      <c r="B26" s="726"/>
      <c r="C26" s="679" t="s">
        <v>308</v>
      </c>
      <c r="D26" s="761">
        <f t="shared" si="6"/>
        <v>0</v>
      </c>
      <c r="E26" s="961">
        <v>0</v>
      </c>
      <c r="F26" s="727">
        <v>0</v>
      </c>
      <c r="G26" s="727">
        <v>0</v>
      </c>
      <c r="H26" s="727">
        <v>0</v>
      </c>
      <c r="I26" s="727">
        <v>0</v>
      </c>
      <c r="J26" s="727">
        <v>0</v>
      </c>
      <c r="K26" s="727">
        <v>0</v>
      </c>
      <c r="L26" s="727">
        <v>0</v>
      </c>
      <c r="M26" s="727">
        <v>0</v>
      </c>
      <c r="N26" s="727">
        <v>0</v>
      </c>
      <c r="O26" s="727">
        <v>0</v>
      </c>
      <c r="P26" s="727">
        <v>0</v>
      </c>
      <c r="Q26" s="727">
        <v>0</v>
      </c>
      <c r="R26" s="727">
        <v>0</v>
      </c>
      <c r="S26" s="727">
        <v>0</v>
      </c>
      <c r="T26" s="727">
        <v>0</v>
      </c>
      <c r="U26" s="727">
        <v>0</v>
      </c>
      <c r="V26" s="727">
        <v>0</v>
      </c>
      <c r="W26" s="727">
        <v>0</v>
      </c>
      <c r="X26" s="727">
        <v>0</v>
      </c>
      <c r="Y26" s="727">
        <v>0</v>
      </c>
      <c r="Z26" s="727">
        <v>0</v>
      </c>
      <c r="AA26" s="727"/>
      <c r="AB26" s="727">
        <v>0</v>
      </c>
      <c r="AC26" s="727">
        <v>0</v>
      </c>
      <c r="AD26" s="962">
        <v>0</v>
      </c>
    </row>
    <row r="27" spans="1:30" s="658" customFormat="1" ht="12.6" customHeight="1" outlineLevel="1" x14ac:dyDescent="0.2">
      <c r="A27" s="979">
        <v>3200</v>
      </c>
      <c r="B27" s="726"/>
      <c r="C27" s="725" t="s">
        <v>214</v>
      </c>
      <c r="D27" s="761">
        <f t="shared" si="6"/>
        <v>19320</v>
      </c>
      <c r="E27" s="961"/>
      <c r="F27" s="727">
        <f>3680+15640</f>
        <v>19320</v>
      </c>
      <c r="G27" s="727"/>
      <c r="H27" s="727"/>
      <c r="I27" s="727"/>
      <c r="J27" s="727"/>
      <c r="K27" s="727"/>
      <c r="L27" s="727"/>
      <c r="M27" s="727"/>
      <c r="N27" s="727"/>
      <c r="O27" s="727"/>
      <c r="P27" s="727"/>
      <c r="Q27" s="727"/>
      <c r="R27" s="727"/>
      <c r="S27" s="727"/>
      <c r="T27" s="727"/>
      <c r="U27" s="727"/>
      <c r="V27" s="727"/>
      <c r="W27" s="727"/>
      <c r="X27" s="727"/>
      <c r="Y27" s="727"/>
      <c r="Z27" s="727"/>
      <c r="AA27" s="727"/>
      <c r="AB27" s="727"/>
      <c r="AC27" s="727"/>
      <c r="AD27" s="962"/>
    </row>
    <row r="28" spans="1:30" s="658" customFormat="1" ht="12.6" hidden="1" customHeight="1" outlineLevel="1" x14ac:dyDescent="0.2">
      <c r="A28" s="747">
        <v>4310</v>
      </c>
      <c r="B28" s="726">
        <v>4311</v>
      </c>
      <c r="C28" s="725" t="s">
        <v>21</v>
      </c>
      <c r="D28" s="761">
        <f t="shared" si="6"/>
        <v>0</v>
      </c>
      <c r="E28" s="961"/>
      <c r="F28" s="727"/>
      <c r="G28" s="727"/>
      <c r="H28" s="727"/>
      <c r="I28" s="727"/>
      <c r="J28" s="727"/>
      <c r="K28" s="727"/>
      <c r="L28" s="727"/>
      <c r="M28" s="727"/>
      <c r="N28" s="727"/>
      <c r="O28" s="727"/>
      <c r="P28" s="727"/>
      <c r="Q28" s="727"/>
      <c r="R28" s="727"/>
      <c r="S28" s="727"/>
      <c r="T28" s="727"/>
      <c r="U28" s="727"/>
      <c r="V28" s="727"/>
      <c r="W28" s="727"/>
      <c r="X28" s="727"/>
      <c r="Y28" s="727"/>
      <c r="Z28" s="727"/>
      <c r="AA28" s="727"/>
      <c r="AB28" s="727"/>
      <c r="AC28" s="727"/>
      <c r="AD28" s="962"/>
    </row>
    <row r="29" spans="1:30" s="658" customFormat="1" ht="12.6" hidden="1" customHeight="1" outlineLevel="1" x14ac:dyDescent="0.2">
      <c r="A29" s="747">
        <v>5100</v>
      </c>
      <c r="B29" s="726"/>
      <c r="C29" s="725" t="s">
        <v>22</v>
      </c>
      <c r="D29" s="761">
        <f t="shared" si="6"/>
        <v>0</v>
      </c>
      <c r="E29" s="961">
        <v>0</v>
      </c>
      <c r="F29" s="727">
        <v>0</v>
      </c>
      <c r="G29" s="727">
        <v>0</v>
      </c>
      <c r="H29" s="727">
        <v>0</v>
      </c>
      <c r="I29" s="727">
        <v>0</v>
      </c>
      <c r="J29" s="727">
        <v>0</v>
      </c>
      <c r="K29" s="727">
        <v>0</v>
      </c>
      <c r="L29" s="727">
        <v>0</v>
      </c>
      <c r="M29" s="727">
        <v>0</v>
      </c>
      <c r="N29" s="727">
        <v>0</v>
      </c>
      <c r="O29" s="727">
        <v>0</v>
      </c>
      <c r="P29" s="727">
        <v>0</v>
      </c>
      <c r="Q29" s="727">
        <v>0</v>
      </c>
      <c r="R29" s="727">
        <v>0</v>
      </c>
      <c r="S29" s="727">
        <v>0</v>
      </c>
      <c r="T29" s="727">
        <v>0</v>
      </c>
      <c r="U29" s="727">
        <v>0</v>
      </c>
      <c r="V29" s="727">
        <v>0</v>
      </c>
      <c r="W29" s="727">
        <v>0</v>
      </c>
      <c r="X29" s="727">
        <v>0</v>
      </c>
      <c r="Y29" s="727">
        <v>0</v>
      </c>
      <c r="Z29" s="727">
        <v>0</v>
      </c>
      <c r="AA29" s="727"/>
      <c r="AB29" s="727">
        <v>0</v>
      </c>
      <c r="AC29" s="727">
        <v>0</v>
      </c>
      <c r="AD29" s="962">
        <v>0</v>
      </c>
    </row>
    <row r="30" spans="1:30" s="658" customFormat="1" ht="12.6" customHeight="1" outlineLevel="1" x14ac:dyDescent="0.2">
      <c r="A30" s="747">
        <v>5200</v>
      </c>
      <c r="B30" s="726"/>
      <c r="C30" s="725" t="s">
        <v>23</v>
      </c>
      <c r="D30" s="761">
        <f t="shared" si="6"/>
        <v>1319</v>
      </c>
      <c r="E30" s="961">
        <v>0</v>
      </c>
      <c r="F30" s="727">
        <v>0</v>
      </c>
      <c r="G30" s="727">
        <v>0</v>
      </c>
      <c r="H30" s="727">
        <v>719</v>
      </c>
      <c r="I30" s="727">
        <v>0</v>
      </c>
      <c r="J30" s="727">
        <v>0</v>
      </c>
      <c r="K30" s="727">
        <v>0</v>
      </c>
      <c r="L30" s="727">
        <v>0</v>
      </c>
      <c r="M30" s="727">
        <v>0</v>
      </c>
      <c r="N30" s="727">
        <v>0</v>
      </c>
      <c r="O30" s="727">
        <v>0</v>
      </c>
      <c r="P30" s="727">
        <v>600</v>
      </c>
      <c r="Q30" s="727">
        <v>0</v>
      </c>
      <c r="R30" s="727">
        <v>0</v>
      </c>
      <c r="S30" s="727">
        <v>0</v>
      </c>
      <c r="T30" s="727">
        <v>0</v>
      </c>
      <c r="U30" s="727">
        <v>0</v>
      </c>
      <c r="V30" s="727">
        <v>0</v>
      </c>
      <c r="W30" s="727">
        <v>0</v>
      </c>
      <c r="X30" s="727">
        <v>0</v>
      </c>
      <c r="Y30" s="727">
        <v>0</v>
      </c>
      <c r="Z30" s="727">
        <v>0</v>
      </c>
      <c r="AA30" s="727"/>
      <c r="AB30" s="727">
        <v>0</v>
      </c>
      <c r="AC30" s="727">
        <v>0</v>
      </c>
      <c r="AD30" s="962">
        <v>0</v>
      </c>
    </row>
    <row r="31" spans="1:30" s="658" customFormat="1" outlineLevel="1" x14ac:dyDescent="0.2">
      <c r="A31" s="747">
        <v>6400</v>
      </c>
      <c r="B31" s="726"/>
      <c r="C31" s="725" t="s">
        <v>523</v>
      </c>
      <c r="D31" s="761">
        <f t="shared" si="6"/>
        <v>18000</v>
      </c>
      <c r="E31" s="961"/>
      <c r="F31" s="727"/>
      <c r="G31" s="727"/>
      <c r="H31" s="727"/>
      <c r="I31" s="727"/>
      <c r="J31" s="727"/>
      <c r="K31" s="727"/>
      <c r="L31" s="727"/>
      <c r="M31" s="727"/>
      <c r="N31" s="727"/>
      <c r="O31" s="727"/>
      <c r="P31" s="727"/>
      <c r="Q31" s="727"/>
      <c r="R31" s="727"/>
      <c r="S31" s="727"/>
      <c r="T31" s="727"/>
      <c r="U31" s="727"/>
      <c r="V31" s="727"/>
      <c r="W31" s="727"/>
      <c r="X31" s="727"/>
      <c r="Y31" s="727"/>
      <c r="Z31" s="727"/>
      <c r="AA31" s="727"/>
      <c r="AB31" s="727"/>
      <c r="AC31" s="727"/>
      <c r="AD31" s="962">
        <v>18000</v>
      </c>
    </row>
    <row r="32" spans="1:30" s="648" customFormat="1" ht="12.6" customHeight="1" outlineLevel="1" thickBot="1" x14ac:dyDescent="0.25">
      <c r="A32" s="747">
        <v>6400</v>
      </c>
      <c r="B32" s="661"/>
      <c r="C32" s="725" t="s">
        <v>24</v>
      </c>
      <c r="D32" s="767">
        <f t="shared" si="6"/>
        <v>32501</v>
      </c>
      <c r="E32" s="961"/>
      <c r="F32" s="727"/>
      <c r="G32" s="727"/>
      <c r="H32" s="727"/>
      <c r="I32" s="727"/>
      <c r="J32" s="727"/>
      <c r="K32" s="727"/>
      <c r="L32" s="727"/>
      <c r="M32" s="727"/>
      <c r="N32" s="727"/>
      <c r="O32" s="727"/>
      <c r="P32" s="727"/>
      <c r="Q32" s="727"/>
      <c r="R32" s="727"/>
      <c r="S32" s="727"/>
      <c r="T32" s="727"/>
      <c r="U32" s="727"/>
      <c r="V32" s="727"/>
      <c r="W32" s="727"/>
      <c r="X32" s="727"/>
      <c r="Y32" s="727"/>
      <c r="Z32" s="727"/>
      <c r="AA32" s="727"/>
      <c r="AB32" s="727"/>
      <c r="AC32" s="727">
        <f>12948+9453</f>
        <v>22401</v>
      </c>
      <c r="AD32" s="962">
        <v>10100</v>
      </c>
    </row>
    <row r="33" spans="1:30" s="648" customFormat="1" ht="12" hidden="1" customHeight="1" outlineLevel="1" x14ac:dyDescent="0.2">
      <c r="A33" s="747">
        <v>7240</v>
      </c>
      <c r="B33" s="661"/>
      <c r="C33" s="722" t="s">
        <v>215</v>
      </c>
      <c r="D33" s="767">
        <f>D34</f>
        <v>0</v>
      </c>
      <c r="E33" s="961"/>
      <c r="F33" s="727"/>
      <c r="G33" s="727"/>
      <c r="H33" s="727"/>
      <c r="I33" s="727"/>
      <c r="J33" s="727"/>
      <c r="K33" s="727"/>
      <c r="L33" s="727"/>
      <c r="M33" s="727"/>
      <c r="N33" s="727"/>
      <c r="O33" s="727"/>
      <c r="P33" s="727"/>
      <c r="Q33" s="727"/>
      <c r="R33" s="727"/>
      <c r="S33" s="727"/>
      <c r="T33" s="727"/>
      <c r="U33" s="727"/>
      <c r="V33" s="727"/>
      <c r="W33" s="727"/>
      <c r="X33" s="727"/>
      <c r="Y33" s="727"/>
      <c r="Z33" s="727"/>
      <c r="AA33" s="727"/>
      <c r="AB33" s="727"/>
      <c r="AC33" s="727"/>
      <c r="AD33" s="962"/>
    </row>
    <row r="34" spans="1:30" s="648" customFormat="1" ht="12" hidden="1" customHeight="1" outlineLevel="1" thickBot="1" x14ac:dyDescent="0.25">
      <c r="A34" s="749">
        <v>7700</v>
      </c>
      <c r="B34" s="750">
        <v>7720</v>
      </c>
      <c r="C34" s="765" t="s">
        <v>128</v>
      </c>
      <c r="D34" s="768">
        <f>SUM(E34:AD34)</f>
        <v>0</v>
      </c>
      <c r="E34" s="975"/>
      <c r="F34" s="976"/>
      <c r="G34" s="977"/>
      <c r="H34" s="977"/>
      <c r="I34" s="976"/>
      <c r="J34" s="977"/>
      <c r="K34" s="977"/>
      <c r="L34" s="977"/>
      <c r="M34" s="977"/>
      <c r="N34" s="977"/>
      <c r="O34" s="977"/>
      <c r="P34" s="977"/>
      <c r="Q34" s="977"/>
      <c r="R34" s="977"/>
      <c r="S34" s="977"/>
      <c r="T34" s="977"/>
      <c r="U34" s="977"/>
      <c r="V34" s="977"/>
      <c r="W34" s="977"/>
      <c r="X34" s="977"/>
      <c r="Y34" s="977"/>
      <c r="Z34" s="977"/>
      <c r="AA34" s="977"/>
      <c r="AB34" s="977"/>
      <c r="AC34" s="977"/>
      <c r="AD34" s="978"/>
    </row>
    <row r="35" spans="1:30" s="680" customFormat="1" ht="15.75" customHeight="1" collapsed="1" thickBot="1" x14ac:dyDescent="0.3">
      <c r="A35" s="723"/>
      <c r="B35" s="724"/>
      <c r="C35" s="736" t="s">
        <v>26</v>
      </c>
      <c r="D35" s="769">
        <f t="shared" ref="D35:AD35" si="7">SUM(D19+D20+D21+D27+D28+D29+D30+D31+D32+D33+D34)</f>
        <v>823758</v>
      </c>
      <c r="E35" s="766">
        <f t="shared" si="7"/>
        <v>41843</v>
      </c>
      <c r="F35" s="745">
        <f t="shared" si="7"/>
        <v>255286</v>
      </c>
      <c r="G35" s="745">
        <f t="shared" si="7"/>
        <v>55692</v>
      </c>
      <c r="H35" s="745">
        <f t="shared" si="7"/>
        <v>3923</v>
      </c>
      <c r="I35" s="745">
        <f t="shared" si="7"/>
        <v>7892</v>
      </c>
      <c r="J35" s="745">
        <f t="shared" si="7"/>
        <v>11709</v>
      </c>
      <c r="K35" s="745">
        <f t="shared" si="7"/>
        <v>8234</v>
      </c>
      <c r="L35" s="745">
        <f t="shared" si="7"/>
        <v>5538</v>
      </c>
      <c r="M35" s="745">
        <f t="shared" si="7"/>
        <v>5249</v>
      </c>
      <c r="N35" s="745">
        <f t="shared" si="7"/>
        <v>77720</v>
      </c>
      <c r="O35" s="745">
        <f t="shared" si="7"/>
        <v>3656</v>
      </c>
      <c r="P35" s="745">
        <f t="shared" si="7"/>
        <v>4538</v>
      </c>
      <c r="Q35" s="745">
        <f t="shared" si="7"/>
        <v>4281</v>
      </c>
      <c r="R35" s="745">
        <f t="shared" si="7"/>
        <v>11155</v>
      </c>
      <c r="S35" s="745">
        <f t="shared" si="7"/>
        <v>21664</v>
      </c>
      <c r="T35" s="745">
        <f t="shared" si="7"/>
        <v>22954</v>
      </c>
      <c r="U35" s="745">
        <f t="shared" si="7"/>
        <v>21617</v>
      </c>
      <c r="V35" s="745">
        <f t="shared" si="7"/>
        <v>26560</v>
      </c>
      <c r="W35" s="745">
        <f t="shared" si="7"/>
        <v>16368</v>
      </c>
      <c r="X35" s="745">
        <f t="shared" si="7"/>
        <v>1253</v>
      </c>
      <c r="Y35" s="745">
        <f t="shared" si="7"/>
        <v>20026</v>
      </c>
      <c r="Z35" s="745">
        <f t="shared" si="7"/>
        <v>26222</v>
      </c>
      <c r="AA35" s="745">
        <f t="shared" si="7"/>
        <v>57379</v>
      </c>
      <c r="AB35" s="745">
        <f t="shared" si="7"/>
        <v>26350</v>
      </c>
      <c r="AC35" s="745">
        <f t="shared" si="7"/>
        <v>32849</v>
      </c>
      <c r="AD35" s="746">
        <f t="shared" si="7"/>
        <v>53800</v>
      </c>
    </row>
    <row r="36" spans="1:30" s="658" customFormat="1" ht="12.6" customHeight="1" x14ac:dyDescent="0.2">
      <c r="A36" s="660"/>
      <c r="B36" s="660"/>
      <c r="C36" s="743"/>
      <c r="D36" s="744">
        <f t="shared" ref="D36:AD36" si="8">D16-D35</f>
        <v>-0.14000000001396984</v>
      </c>
      <c r="E36" s="671">
        <f t="shared" si="8"/>
        <v>0</v>
      </c>
      <c r="F36" s="671">
        <f t="shared" si="8"/>
        <v>0</v>
      </c>
      <c r="G36" s="671">
        <f t="shared" si="8"/>
        <v>0</v>
      </c>
      <c r="H36" s="671">
        <f t="shared" si="8"/>
        <v>0</v>
      </c>
      <c r="I36" s="671">
        <f t="shared" si="8"/>
        <v>0</v>
      </c>
      <c r="J36" s="671">
        <f t="shared" si="8"/>
        <v>0</v>
      </c>
      <c r="K36" s="671">
        <f t="shared" si="8"/>
        <v>0</v>
      </c>
      <c r="L36" s="671">
        <f t="shared" si="8"/>
        <v>0</v>
      </c>
      <c r="M36" s="671">
        <f t="shared" si="8"/>
        <v>0</v>
      </c>
      <c r="N36" s="671">
        <f t="shared" si="8"/>
        <v>0</v>
      </c>
      <c r="O36" s="671">
        <f t="shared" si="8"/>
        <v>0</v>
      </c>
      <c r="P36" s="671">
        <f t="shared" si="8"/>
        <v>-0.3999999999996362</v>
      </c>
      <c r="Q36" s="671">
        <f t="shared" si="8"/>
        <v>0.26000000000021828</v>
      </c>
      <c r="R36" s="671">
        <f t="shared" si="8"/>
        <v>0</v>
      </c>
      <c r="S36" s="671">
        <f t="shared" si="8"/>
        <v>0</v>
      </c>
      <c r="T36" s="671">
        <f t="shared" si="8"/>
        <v>0</v>
      </c>
      <c r="U36" s="671">
        <f t="shared" si="8"/>
        <v>0</v>
      </c>
      <c r="V36" s="671">
        <f t="shared" si="8"/>
        <v>0</v>
      </c>
      <c r="W36" s="671">
        <f t="shared" si="8"/>
        <v>0</v>
      </c>
      <c r="X36" s="671">
        <f t="shared" si="8"/>
        <v>0</v>
      </c>
      <c r="Y36" s="671">
        <f t="shared" si="8"/>
        <v>-0.40000000000145519</v>
      </c>
      <c r="Z36" s="671">
        <f t="shared" si="8"/>
        <v>0.40000000000145519</v>
      </c>
      <c r="AA36" s="671">
        <f t="shared" si="8"/>
        <v>0</v>
      </c>
      <c r="AB36" s="671">
        <f t="shared" si="8"/>
        <v>0</v>
      </c>
      <c r="AC36" s="671">
        <f t="shared" si="8"/>
        <v>0</v>
      </c>
      <c r="AD36" s="671">
        <f t="shared" si="8"/>
        <v>0</v>
      </c>
    </row>
    <row r="37" spans="1:30" x14ac:dyDescent="0.2">
      <c r="C37" s="681"/>
      <c r="D37" s="682"/>
      <c r="E37" s="670"/>
      <c r="F37" s="670"/>
      <c r="G37" s="670"/>
      <c r="H37" s="670"/>
      <c r="I37" s="670"/>
      <c r="J37" s="683"/>
      <c r="K37" s="683"/>
      <c r="L37" s="670"/>
      <c r="M37" s="670"/>
      <c r="N37" s="670"/>
      <c r="O37" s="670"/>
      <c r="P37" s="670"/>
      <c r="Q37" s="670"/>
      <c r="R37" s="670"/>
      <c r="S37" s="670"/>
      <c r="T37" s="670"/>
      <c r="U37" s="670"/>
      <c r="V37" s="670"/>
      <c r="W37" s="670"/>
      <c r="X37" s="670"/>
      <c r="Y37" s="670"/>
      <c r="Z37" s="670"/>
      <c r="AA37" s="670"/>
      <c r="AB37" s="670"/>
      <c r="AC37" s="670"/>
      <c r="AD37" s="670"/>
    </row>
    <row r="38" spans="1:30" ht="12.6" customHeight="1" x14ac:dyDescent="0.2">
      <c r="C38" s="1018" t="s">
        <v>149</v>
      </c>
      <c r="D38" s="1019"/>
      <c r="E38" s="1019"/>
      <c r="F38" s="1020" t="s">
        <v>41</v>
      </c>
      <c r="G38" s="632"/>
      <c r="H38" s="632"/>
      <c r="I38" s="632"/>
      <c r="J38" s="632"/>
      <c r="K38" s="632"/>
      <c r="L38" s="632"/>
      <c r="M38" s="649"/>
      <c r="N38" s="632"/>
      <c r="O38" s="632"/>
      <c r="P38" s="632"/>
      <c r="Q38" s="632"/>
      <c r="R38" s="632"/>
      <c r="S38" s="632"/>
      <c r="T38" s="632"/>
      <c r="U38" s="632"/>
      <c r="V38" s="632"/>
      <c r="W38" s="632"/>
      <c r="X38" s="632"/>
      <c r="Y38" s="632"/>
      <c r="Z38" s="632"/>
      <c r="AA38" s="632"/>
      <c r="AB38" s="632"/>
      <c r="AC38" s="632"/>
      <c r="AD38" s="632"/>
    </row>
    <row r="39" spans="1:30" ht="12.6" customHeight="1" x14ac:dyDescent="0.2">
      <c r="D39" s="684"/>
      <c r="E39" s="632"/>
      <c r="F39" s="632"/>
      <c r="G39" s="632"/>
      <c r="H39" s="632"/>
      <c r="I39" s="632"/>
      <c r="J39" s="649"/>
      <c r="K39" s="649"/>
      <c r="L39" s="632"/>
      <c r="M39" s="632"/>
      <c r="N39" s="632"/>
      <c r="O39" s="632"/>
      <c r="P39" s="632"/>
      <c r="Q39" s="632"/>
      <c r="R39" s="632"/>
      <c r="S39" s="632"/>
      <c r="T39" s="632"/>
      <c r="U39" s="632"/>
      <c r="V39" s="632"/>
      <c r="W39" s="632"/>
      <c r="X39" s="632"/>
      <c r="Y39" s="632"/>
      <c r="Z39" s="632"/>
      <c r="AA39" s="632"/>
      <c r="AB39" s="632"/>
      <c r="AC39" s="632"/>
      <c r="AD39" s="632"/>
    </row>
    <row r="40" spans="1:30" s="632" customFormat="1" ht="12.6" customHeight="1" x14ac:dyDescent="0.2">
      <c r="C40" s="685"/>
      <c r="D40" s="684"/>
      <c r="M40" s="652"/>
    </row>
    <row r="41" spans="1:30" ht="12.6" customHeight="1" x14ac:dyDescent="0.2">
      <c r="D41" s="684"/>
      <c r="E41" s="632"/>
      <c r="F41" s="632"/>
      <c r="G41" s="632"/>
      <c r="H41" s="632"/>
      <c r="I41" s="632"/>
      <c r="J41" s="649"/>
      <c r="K41" s="649"/>
      <c r="L41" s="632"/>
      <c r="N41" s="632"/>
      <c r="O41" s="632"/>
      <c r="P41" s="632"/>
      <c r="Q41" s="632"/>
      <c r="R41" s="632"/>
      <c r="S41" s="632"/>
      <c r="T41" s="632"/>
      <c r="U41" s="632"/>
      <c r="V41" s="632"/>
      <c r="W41" s="632"/>
      <c r="X41" s="632"/>
      <c r="Y41" s="632"/>
      <c r="Z41" s="632"/>
      <c r="AA41" s="632"/>
      <c r="AB41" s="632"/>
      <c r="AC41" s="632"/>
      <c r="AD41" s="632"/>
    </row>
    <row r="42" spans="1:30" s="647" customFormat="1" ht="12.6" customHeight="1" x14ac:dyDescent="0.2">
      <c r="C42" s="686"/>
      <c r="D42" s="687"/>
      <c r="H42" s="649"/>
      <c r="I42" s="649"/>
      <c r="J42" s="649"/>
      <c r="K42" s="649"/>
      <c r="M42" s="652"/>
      <c r="N42" s="649"/>
      <c r="O42" s="649"/>
    </row>
    <row r="43" spans="1:30" s="632" customFormat="1" ht="12.6" customHeight="1" x14ac:dyDescent="0.2">
      <c r="C43" s="688"/>
      <c r="M43" s="652"/>
    </row>
    <row r="44" spans="1:30" ht="12.6" customHeight="1" x14ac:dyDescent="0.2"/>
    <row r="45" spans="1:30" ht="12.6" customHeight="1" x14ac:dyDescent="0.2"/>
    <row r="46" spans="1:30" ht="12.6" customHeight="1" x14ac:dyDescent="0.2"/>
    <row r="47" spans="1:30" ht="12.6" customHeight="1" x14ac:dyDescent="0.2"/>
    <row r="48" spans="1:30" ht="12.6" customHeight="1" x14ac:dyDescent="0.2"/>
    <row r="49" ht="12.6" customHeight="1" x14ac:dyDescent="0.2"/>
    <row r="50" ht="12.6" customHeight="1" x14ac:dyDescent="0.2"/>
  </sheetData>
  <pageMargins left="0.7" right="0.7" top="0.75" bottom="0.75" header="0.3" footer="0.3"/>
  <pageSetup paperSize="9" scale="4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workbookViewId="0">
      <pane xSplit="2" ySplit="7" topLeftCell="C8" activePane="bottomRight" state="frozen"/>
      <selection pane="topRight" activeCell="E1" sqref="E1"/>
      <selection pane="bottomLeft" activeCell="A6" sqref="A6"/>
      <selection pane="bottomRight" activeCell="L27" sqref="L27"/>
    </sheetView>
  </sheetViews>
  <sheetFormatPr defaultColWidth="9.140625" defaultRowHeight="15" x14ac:dyDescent="0.25"/>
  <cols>
    <col min="1" max="1" width="9.42578125" style="1" customWidth="1"/>
    <col min="2" max="2" width="50.5703125" style="8" customWidth="1"/>
    <col min="3" max="3" width="10" style="1" customWidth="1"/>
    <col min="4" max="4" width="9.7109375" style="1" customWidth="1"/>
    <col min="5" max="5" width="8.5703125" style="1" customWidth="1"/>
    <col min="6" max="6" width="8.85546875" style="1" customWidth="1"/>
    <col min="7" max="7" width="9.28515625" style="1" customWidth="1"/>
    <col min="8" max="8" width="9.5703125" style="1" customWidth="1"/>
    <col min="9" max="9" width="10.140625" style="1" customWidth="1"/>
    <col min="10" max="10" width="9.7109375" style="1" customWidth="1"/>
    <col min="11" max="16384" width="9.140625" style="1"/>
  </cols>
  <sheetData>
    <row r="1" spans="1:9" x14ac:dyDescent="0.25">
      <c r="B1" s="2" t="s">
        <v>0</v>
      </c>
      <c r="G1" s="1" t="s">
        <v>572</v>
      </c>
    </row>
    <row r="3" spans="1:9" x14ac:dyDescent="0.25">
      <c r="A3" s="186" t="s">
        <v>53</v>
      </c>
      <c r="B3" s="186"/>
      <c r="C3" s="186"/>
      <c r="D3" s="186"/>
    </row>
    <row r="4" spans="1:9" x14ac:dyDescent="0.25">
      <c r="B4" s="127" t="s">
        <v>455</v>
      </c>
    </row>
    <row r="5" spans="1:9" x14ac:dyDescent="0.25">
      <c r="A5" s="1021" t="s">
        <v>54</v>
      </c>
      <c r="B5" s="1021"/>
      <c r="C5" s="110" t="s">
        <v>227</v>
      </c>
      <c r="D5" s="126" t="s">
        <v>263</v>
      </c>
      <c r="E5" s="110" t="s">
        <v>44</v>
      </c>
      <c r="F5" s="110" t="s">
        <v>239</v>
      </c>
      <c r="G5" s="110" t="s">
        <v>228</v>
      </c>
      <c r="H5" s="110" t="s">
        <v>229</v>
      </c>
      <c r="I5" s="110" t="s">
        <v>230</v>
      </c>
    </row>
    <row r="6" spans="1:9" s="129" customFormat="1" ht="28.5" customHeight="1" thickBot="1" x14ac:dyDescent="0.3">
      <c r="C6" s="128" t="s">
        <v>52</v>
      </c>
      <c r="D6" s="302" t="s">
        <v>264</v>
      </c>
      <c r="E6" s="128" t="s">
        <v>45</v>
      </c>
      <c r="F6" s="275" t="s">
        <v>240</v>
      </c>
      <c r="G6" s="128" t="s">
        <v>203</v>
      </c>
      <c r="H6" s="128" t="s">
        <v>204</v>
      </c>
      <c r="I6" s="128" t="s">
        <v>43</v>
      </c>
    </row>
    <row r="7" spans="1:9" ht="33" customHeight="1" thickBot="1" x14ac:dyDescent="0.35">
      <c r="A7" s="200" t="s">
        <v>7</v>
      </c>
      <c r="B7" s="201" t="s">
        <v>10</v>
      </c>
      <c r="C7" s="65" t="s">
        <v>456</v>
      </c>
      <c r="D7" s="65" t="s">
        <v>456</v>
      </c>
      <c r="E7" s="65" t="s">
        <v>456</v>
      </c>
      <c r="F7" s="65" t="s">
        <v>456</v>
      </c>
      <c r="G7" s="65" t="s">
        <v>456</v>
      </c>
      <c r="H7" s="65" t="s">
        <v>456</v>
      </c>
      <c r="I7" s="65" t="s">
        <v>456</v>
      </c>
    </row>
    <row r="8" spans="1:9" x14ac:dyDescent="0.25">
      <c r="A8" s="202">
        <v>1100</v>
      </c>
      <c r="B8" s="180" t="s">
        <v>11</v>
      </c>
      <c r="C8" s="135">
        <f>1577081+854086</f>
        <v>2431167</v>
      </c>
      <c r="D8" s="136">
        <v>96240</v>
      </c>
      <c r="E8" s="136"/>
      <c r="F8" s="137"/>
      <c r="G8" s="136"/>
      <c r="H8" s="137"/>
      <c r="I8" s="137"/>
    </row>
    <row r="9" spans="1:9" ht="30" customHeight="1" x14ac:dyDescent="0.25">
      <c r="A9" s="203">
        <v>1200</v>
      </c>
      <c r="B9" s="72" t="s">
        <v>12</v>
      </c>
      <c r="C9" s="73">
        <f>456695+201479</f>
        <v>658174</v>
      </c>
      <c r="D9" s="141">
        <v>22703</v>
      </c>
      <c r="E9" s="148"/>
      <c r="F9" s="115"/>
      <c r="G9" s="148"/>
      <c r="H9" s="115"/>
      <c r="I9" s="115"/>
    </row>
    <row r="10" spans="1:9" x14ac:dyDescent="0.25">
      <c r="A10" s="203">
        <v>2000</v>
      </c>
      <c r="B10" s="72" t="s">
        <v>13</v>
      </c>
      <c r="C10" s="73">
        <f t="shared" ref="C10:I10" si="0">SUM(C11:C15)</f>
        <v>542286</v>
      </c>
      <c r="D10" s="73">
        <f t="shared" si="0"/>
        <v>31950</v>
      </c>
      <c r="E10" s="141">
        <f t="shared" si="0"/>
        <v>184447</v>
      </c>
      <c r="F10" s="73"/>
      <c r="G10" s="141">
        <f t="shared" si="0"/>
        <v>0</v>
      </c>
      <c r="H10" s="73">
        <f t="shared" si="0"/>
        <v>0</v>
      </c>
      <c r="I10" s="73">
        <f t="shared" si="0"/>
        <v>52355</v>
      </c>
    </row>
    <row r="11" spans="1:9" x14ac:dyDescent="0.25">
      <c r="A11" s="203">
        <v>2100</v>
      </c>
      <c r="B11" s="72" t="s">
        <v>14</v>
      </c>
      <c r="C11" s="283">
        <v>7823</v>
      </c>
      <c r="D11" s="299"/>
      <c r="E11" s="148"/>
      <c r="F11" s="115"/>
      <c r="G11" s="148"/>
      <c r="H11" s="115"/>
      <c r="I11" s="115"/>
    </row>
    <row r="12" spans="1:9" x14ac:dyDescent="0.25">
      <c r="A12" s="203">
        <v>2200</v>
      </c>
      <c r="B12" s="72" t="s">
        <v>15</v>
      </c>
      <c r="C12" s="81">
        <f>441334+5527</f>
        <v>446861</v>
      </c>
      <c r="D12" s="204">
        <v>15800</v>
      </c>
      <c r="E12" s="204">
        <f>152220+32227</f>
        <v>184447</v>
      </c>
      <c r="F12" s="115"/>
      <c r="G12" s="143"/>
      <c r="H12" s="144"/>
      <c r="I12" s="142">
        <f>600000-547645</f>
        <v>52355</v>
      </c>
    </row>
    <row r="13" spans="1:9" ht="30" x14ac:dyDescent="0.25">
      <c r="A13" s="203">
        <v>2300</v>
      </c>
      <c r="B13" s="72" t="s">
        <v>16</v>
      </c>
      <c r="C13" s="73">
        <v>87195</v>
      </c>
      <c r="D13" s="141">
        <v>16150</v>
      </c>
      <c r="E13" s="148"/>
      <c r="F13" s="115"/>
      <c r="G13" s="143"/>
      <c r="H13" s="144"/>
      <c r="I13" s="115"/>
    </row>
    <row r="14" spans="1:9" x14ac:dyDescent="0.25">
      <c r="A14" s="203">
        <v>2400</v>
      </c>
      <c r="B14" s="140" t="s">
        <v>61</v>
      </c>
      <c r="C14" s="214"/>
      <c r="D14" s="300"/>
      <c r="E14" s="148"/>
      <c r="F14" s="115"/>
      <c r="G14" s="148"/>
      <c r="H14" s="115"/>
      <c r="I14" s="115"/>
    </row>
    <row r="15" spans="1:9" x14ac:dyDescent="0.25">
      <c r="A15" s="203">
        <v>2500</v>
      </c>
      <c r="B15" s="72" t="s">
        <v>17</v>
      </c>
      <c r="C15" s="115">
        <v>407</v>
      </c>
      <c r="D15" s="148"/>
      <c r="E15" s="148"/>
      <c r="F15" s="115"/>
      <c r="G15" s="148"/>
      <c r="H15" s="115"/>
      <c r="I15" s="115"/>
    </row>
    <row r="16" spans="1:9" s="3" customFormat="1" x14ac:dyDescent="0.25">
      <c r="A16" s="203">
        <v>4200</v>
      </c>
      <c r="B16" s="78" t="s">
        <v>19</v>
      </c>
      <c r="C16" s="115"/>
      <c r="D16" s="148"/>
      <c r="E16" s="148"/>
      <c r="F16" s="115"/>
      <c r="G16" s="148"/>
      <c r="H16" s="115"/>
      <c r="I16" s="115"/>
    </row>
    <row r="17" spans="1:13" x14ac:dyDescent="0.25">
      <c r="A17" s="203">
        <v>4300</v>
      </c>
      <c r="B17" s="72" t="s">
        <v>20</v>
      </c>
      <c r="C17" s="115"/>
      <c r="D17" s="148"/>
      <c r="E17" s="148">
        <f>80000+22804</f>
        <v>102804</v>
      </c>
      <c r="F17" s="115"/>
      <c r="G17" s="148"/>
      <c r="H17" s="115"/>
      <c r="I17" s="115"/>
    </row>
    <row r="18" spans="1:13" x14ac:dyDescent="0.25">
      <c r="A18" s="203">
        <v>5100</v>
      </c>
      <c r="B18" s="72" t="s">
        <v>22</v>
      </c>
      <c r="C18" s="283">
        <v>1750</v>
      </c>
      <c r="D18" s="299"/>
      <c r="E18" s="148"/>
      <c r="F18" s="115"/>
      <c r="G18" s="148"/>
      <c r="H18" s="115"/>
      <c r="I18" s="115"/>
    </row>
    <row r="19" spans="1:13" x14ac:dyDescent="0.25">
      <c r="A19" s="203">
        <v>5200</v>
      </c>
      <c r="B19" s="72" t="s">
        <v>23</v>
      </c>
      <c r="C19" s="19">
        <v>10070</v>
      </c>
      <c r="D19" s="301"/>
      <c r="E19" s="204"/>
      <c r="F19" s="81"/>
      <c r="G19" s="204"/>
      <c r="H19" s="81"/>
      <c r="I19" s="81"/>
    </row>
    <row r="20" spans="1:13" x14ac:dyDescent="0.25">
      <c r="A20" s="205">
        <v>6200</v>
      </c>
      <c r="B20" s="78" t="s">
        <v>24</v>
      </c>
      <c r="C20" s="19">
        <v>33600</v>
      </c>
      <c r="D20" s="301"/>
      <c r="E20" s="204"/>
      <c r="F20" s="81"/>
      <c r="G20" s="204"/>
      <c r="H20" s="81"/>
      <c r="I20" s="81"/>
    </row>
    <row r="21" spans="1:13" ht="30" x14ac:dyDescent="0.25">
      <c r="A21" s="206">
        <v>6500</v>
      </c>
      <c r="B21" s="9" t="s">
        <v>148</v>
      </c>
      <c r="C21" s="19">
        <v>500</v>
      </c>
      <c r="D21" s="301"/>
      <c r="E21" s="204"/>
      <c r="F21" s="81"/>
      <c r="G21" s="204"/>
      <c r="H21" s="81"/>
      <c r="I21" s="81"/>
    </row>
    <row r="22" spans="1:13" s="3" customFormat="1" x14ac:dyDescent="0.25">
      <c r="A22" s="207">
        <v>7200</v>
      </c>
      <c r="B22" s="140" t="s">
        <v>25</v>
      </c>
      <c r="C22" s="115"/>
      <c r="D22" s="148"/>
      <c r="E22" s="148"/>
      <c r="F22" s="115">
        <v>2034</v>
      </c>
      <c r="G22" s="149">
        <v>600000</v>
      </c>
      <c r="H22" s="115">
        <v>145506</v>
      </c>
      <c r="I22" s="115"/>
      <c r="M22" s="3" t="s">
        <v>291</v>
      </c>
    </row>
    <row r="23" spans="1:13" s="3" customFormat="1" x14ac:dyDescent="0.25">
      <c r="A23" s="276">
        <v>8100</v>
      </c>
      <c r="B23" s="229" t="s">
        <v>243</v>
      </c>
      <c r="C23" s="115"/>
      <c r="D23" s="148"/>
      <c r="E23" s="148"/>
      <c r="F23" s="115"/>
      <c r="G23" s="149"/>
      <c r="H23" s="115"/>
      <c r="I23" s="115"/>
    </row>
    <row r="24" spans="1:13" ht="19.5" customHeight="1" thickBot="1" x14ac:dyDescent="0.3">
      <c r="A24" s="208">
        <v>9200</v>
      </c>
      <c r="B24" s="209" t="s">
        <v>129</v>
      </c>
      <c r="C24" s="210"/>
      <c r="D24" s="211"/>
      <c r="E24" s="211"/>
      <c r="F24" s="213"/>
      <c r="G24" s="212"/>
      <c r="H24" s="213"/>
      <c r="I24" s="214"/>
    </row>
    <row r="25" spans="1:13" ht="15.75" thickBot="1" x14ac:dyDescent="0.3">
      <c r="A25" s="215"/>
      <c r="B25" s="185" t="s">
        <v>26</v>
      </c>
      <c r="C25" s="103">
        <f>SUM(C8+C9+C10+C16+C17+C18+C19+C20+C21+C22+C23)</f>
        <v>3677547</v>
      </c>
      <c r="D25" s="103">
        <f>SUM(D8+D9+D10+D16+D17+D18+D19+D20+D21+D22+D23)</f>
        <v>150893</v>
      </c>
      <c r="E25" s="216">
        <f>SUM(E8+E9+E10+E16+E17+E18+E19+E22)</f>
        <v>287251</v>
      </c>
      <c r="F25" s="216">
        <f>SUM(F8+F9+F10+F16+F17+F18+F19+F22+F23+F24)</f>
        <v>2034</v>
      </c>
      <c r="G25" s="274">
        <f>SUM(G8+G9+G10+G16+G17+G18+G19+G22+G24)</f>
        <v>600000</v>
      </c>
      <c r="H25" s="103">
        <f>SUM(H8+H9+H10+H16+H17+H18+H19+H22)</f>
        <v>145506</v>
      </c>
      <c r="I25" s="216">
        <f>SUM(I8+I9+I10+I16+I17+I18+I19+I22)</f>
        <v>52355</v>
      </c>
    </row>
    <row r="26" spans="1:13" x14ac:dyDescent="0.25">
      <c r="A26" s="4"/>
      <c r="B26" s="57"/>
      <c r="C26" s="4"/>
      <c r="D26" s="4"/>
    </row>
    <row r="27" spans="1:13" x14ac:dyDescent="0.25">
      <c r="B27" s="8" t="s">
        <v>149</v>
      </c>
      <c r="C27" s="217"/>
      <c r="D27" s="217"/>
      <c r="E27" s="1" t="s">
        <v>41</v>
      </c>
    </row>
    <row r="28" spans="1:13" x14ac:dyDescent="0.25">
      <c r="C28" s="8"/>
      <c r="D28" s="8"/>
    </row>
    <row r="29" spans="1:13" x14ac:dyDescent="0.25">
      <c r="C29" s="397"/>
      <c r="D29" s="397"/>
      <c r="E29" s="396"/>
      <c r="F29" s="396"/>
      <c r="G29" s="396"/>
      <c r="H29" s="396"/>
      <c r="I29" s="396"/>
    </row>
    <row r="30" spans="1:13" x14ac:dyDescent="0.25">
      <c r="B30" s="1029"/>
      <c r="C30" s="1029"/>
      <c r="D30" s="1029"/>
      <c r="E30" s="1029"/>
      <c r="F30" s="1029"/>
      <c r="G30" s="1029"/>
      <c r="H30" s="1029"/>
      <c r="I30" s="1029"/>
      <c r="J30" s="1029"/>
      <c r="K30" s="218"/>
    </row>
    <row r="31" spans="1:13" x14ac:dyDescent="0.25">
      <c r="E31" s="5"/>
      <c r="F31" s="5"/>
      <c r="G31" s="5"/>
    </row>
    <row r="32" spans="1:13" x14ac:dyDescent="0.25">
      <c r="C32" s="5"/>
      <c r="D32" s="5"/>
    </row>
    <row r="36" spans="2:13" x14ac:dyDescent="0.25">
      <c r="B36" s="219"/>
      <c r="C36" s="6"/>
      <c r="D36" s="6"/>
      <c r="H36" s="124"/>
    </row>
    <row r="37" spans="2:13" x14ac:dyDescent="0.25">
      <c r="B37" s="217"/>
      <c r="C37" s="220"/>
      <c r="D37" s="220"/>
      <c r="L37" s="59"/>
      <c r="M37" s="221"/>
    </row>
    <row r="38" spans="2:13" x14ac:dyDescent="0.25">
      <c r="B38" s="1"/>
      <c r="C38" s="222"/>
      <c r="D38" s="222"/>
      <c r="E38" s="5"/>
      <c r="F38" s="5"/>
      <c r="G38" s="5"/>
      <c r="H38" s="222"/>
      <c r="M38" s="222"/>
    </row>
    <row r="39" spans="2:13" x14ac:dyDescent="0.25">
      <c r="C39" s="222"/>
      <c r="D39" s="222"/>
      <c r="M39" s="222"/>
    </row>
    <row r="40" spans="2:13" x14ac:dyDescent="0.25">
      <c r="C40" s="222"/>
      <c r="D40" s="222"/>
      <c r="M40" s="222"/>
    </row>
    <row r="41" spans="2:13" x14ac:dyDescent="0.25">
      <c r="C41" s="222"/>
      <c r="D41" s="222"/>
      <c r="M41" s="222"/>
    </row>
    <row r="42" spans="2:13" x14ac:dyDescent="0.25">
      <c r="C42" s="222"/>
      <c r="D42" s="222"/>
      <c r="H42" s="3"/>
      <c r="M42" s="223"/>
    </row>
    <row r="43" spans="2:13" x14ac:dyDescent="0.25">
      <c r="C43" s="222"/>
      <c r="D43" s="222"/>
      <c r="H43" s="3"/>
      <c r="M43" s="223"/>
    </row>
    <row r="44" spans="2:13" x14ac:dyDescent="0.25">
      <c r="B44" s="1"/>
      <c r="H44" s="3"/>
      <c r="M44" s="223"/>
    </row>
    <row r="45" spans="2:13" x14ac:dyDescent="0.25">
      <c r="C45" s="222"/>
      <c r="D45" s="222"/>
      <c r="H45" s="3"/>
      <c r="L45" s="3"/>
      <c r="M45" s="221"/>
    </row>
    <row r="46" spans="2:13" x14ac:dyDescent="0.25">
      <c r="B46" s="127"/>
      <c r="C46" s="224"/>
      <c r="D46" s="224"/>
      <c r="H46" s="3"/>
      <c r="L46" s="3"/>
      <c r="M46" s="221"/>
    </row>
    <row r="47" spans="2:13" x14ac:dyDescent="0.25">
      <c r="C47" s="222"/>
      <c r="D47" s="222"/>
      <c r="H47" s="3"/>
      <c r="I47" s="3"/>
      <c r="J47" s="3"/>
      <c r="K47" s="3"/>
      <c r="M47" s="221"/>
    </row>
    <row r="48" spans="2:13" x14ac:dyDescent="0.25">
      <c r="B48" s="127"/>
      <c r="C48" s="224"/>
      <c r="D48" s="224"/>
      <c r="H48" s="124"/>
      <c r="I48" s="59"/>
      <c r="J48" s="59"/>
      <c r="K48" s="59"/>
    </row>
    <row r="49" spans="2:13" x14ac:dyDescent="0.25">
      <c r="B49" s="127"/>
      <c r="C49" s="222"/>
      <c r="D49" s="222"/>
      <c r="I49" s="5"/>
      <c r="J49" s="5"/>
      <c r="K49" s="5"/>
      <c r="L49" s="5"/>
      <c r="M49" s="222"/>
    </row>
    <row r="50" spans="2:13" x14ac:dyDescent="0.25">
      <c r="C50" s="222"/>
      <c r="D50" s="222"/>
      <c r="H50" s="1030"/>
      <c r="I50" s="1030"/>
      <c r="J50" s="1030"/>
      <c r="M50" s="222"/>
    </row>
    <row r="51" spans="2:13" x14ac:dyDescent="0.25">
      <c r="C51" s="222"/>
      <c r="D51" s="222"/>
      <c r="M51" s="222"/>
    </row>
    <row r="52" spans="2:13" x14ac:dyDescent="0.25">
      <c r="C52" s="222"/>
      <c r="D52" s="222"/>
      <c r="H52" s="3"/>
      <c r="M52" s="223"/>
    </row>
    <row r="53" spans="2:13" x14ac:dyDescent="0.25">
      <c r="C53" s="222"/>
      <c r="D53" s="222"/>
      <c r="M53" s="223"/>
    </row>
    <row r="54" spans="2:13" x14ac:dyDescent="0.25">
      <c r="C54" s="222"/>
      <c r="D54" s="222"/>
      <c r="M54" s="221"/>
    </row>
    <row r="55" spans="2:13" x14ac:dyDescent="0.25">
      <c r="C55" s="224"/>
      <c r="D55" s="224"/>
      <c r="H55" s="3"/>
      <c r="M55" s="223"/>
    </row>
    <row r="56" spans="2:13" x14ac:dyDescent="0.25">
      <c r="H56" s="3"/>
      <c r="M56" s="223"/>
    </row>
    <row r="58" spans="2:13" x14ac:dyDescent="0.25">
      <c r="E58" s="5"/>
      <c r="F58" s="5"/>
      <c r="G58" s="5"/>
      <c r="H58" s="5"/>
      <c r="I58" s="5"/>
      <c r="J58" s="5"/>
      <c r="K58" s="5"/>
    </row>
  </sheetData>
  <mergeCells count="3">
    <mergeCell ref="A5:B5"/>
    <mergeCell ref="B30:J30"/>
    <mergeCell ref="H50:J50"/>
  </mergeCells>
  <phoneticPr fontId="0" type="noConversion"/>
  <pageMargins left="0.15748031496062992" right="0.15748031496062992" top="0.19685039370078741" bottom="0.59055118110236227" header="0.11811023622047245" footer="0.51181102362204722"/>
  <pageSetup paperSize="9" scale="8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>
      <selection activeCell="H15" sqref="H15"/>
    </sheetView>
  </sheetViews>
  <sheetFormatPr defaultColWidth="8.85546875" defaultRowHeight="12.75" x14ac:dyDescent="0.2"/>
  <cols>
    <col min="1" max="1" width="11.5703125" style="26" customWidth="1"/>
    <col min="2" max="2" width="48.7109375" style="26" customWidth="1"/>
    <col min="3" max="3" width="11" style="26" customWidth="1"/>
    <col min="4" max="16384" width="8.85546875" style="26"/>
  </cols>
  <sheetData>
    <row r="1" spans="1:3" x14ac:dyDescent="0.2">
      <c r="B1" s="927" t="s">
        <v>572</v>
      </c>
    </row>
    <row r="2" spans="1:3" ht="15" x14ac:dyDescent="0.25">
      <c r="B2" s="918" t="s">
        <v>0</v>
      </c>
    </row>
    <row r="4" spans="1:3" ht="14.25" x14ac:dyDescent="0.2">
      <c r="A4" s="186" t="s">
        <v>53</v>
      </c>
      <c r="B4" s="186"/>
      <c r="C4" s="186"/>
    </row>
    <row r="5" spans="1:3" ht="14.25" customHeight="1" x14ac:dyDescent="0.2">
      <c r="A5" s="186" t="s">
        <v>455</v>
      </c>
      <c r="B5" s="186"/>
      <c r="C5" s="186"/>
    </row>
    <row r="6" spans="1:3" ht="15" x14ac:dyDescent="0.25">
      <c r="A6" s="1"/>
      <c r="B6" s="186"/>
      <c r="C6" s="126" t="s">
        <v>231</v>
      </c>
    </row>
    <row r="7" spans="1:3" ht="15.75" thickBot="1" x14ac:dyDescent="0.3">
      <c r="A7" s="129"/>
      <c r="B7" s="129"/>
      <c r="C7" s="128" t="s">
        <v>64</v>
      </c>
    </row>
    <row r="8" spans="1:3" ht="33" customHeight="1" thickBot="1" x14ac:dyDescent="0.35">
      <c r="A8" s="225" t="s">
        <v>7</v>
      </c>
      <c r="B8" s="201" t="s">
        <v>10</v>
      </c>
      <c r="C8" s="64" t="s">
        <v>456</v>
      </c>
    </row>
    <row r="9" spans="1:3" ht="15" x14ac:dyDescent="0.25">
      <c r="A9" s="168">
        <v>1100</v>
      </c>
      <c r="B9" s="180" t="s">
        <v>11</v>
      </c>
      <c r="C9" s="137">
        <f>187651+95376</f>
        <v>283027</v>
      </c>
    </row>
    <row r="10" spans="1:3" ht="30" x14ac:dyDescent="0.25">
      <c r="A10" s="71">
        <v>1200</v>
      </c>
      <c r="B10" s="72" t="s">
        <v>12</v>
      </c>
      <c r="C10" s="73">
        <f>57665+22499</f>
        <v>80164</v>
      </c>
    </row>
    <row r="11" spans="1:3" ht="15" x14ac:dyDescent="0.25">
      <c r="A11" s="71">
        <v>2000</v>
      </c>
      <c r="B11" s="72" t="s">
        <v>13</v>
      </c>
      <c r="C11" s="73">
        <f>SUM(C12:C16)</f>
        <v>20445</v>
      </c>
    </row>
    <row r="12" spans="1:3" ht="15" x14ac:dyDescent="0.25">
      <c r="A12" s="71">
        <v>2100</v>
      </c>
      <c r="B12" s="72" t="s">
        <v>14</v>
      </c>
      <c r="C12" s="115">
        <v>100</v>
      </c>
    </row>
    <row r="13" spans="1:3" ht="15" x14ac:dyDescent="0.25">
      <c r="A13" s="71">
        <v>2200</v>
      </c>
      <c r="B13" s="72" t="s">
        <v>15</v>
      </c>
      <c r="C13" s="73">
        <f>9749-84</f>
        <v>9665</v>
      </c>
    </row>
    <row r="14" spans="1:3" ht="29.25" customHeight="1" x14ac:dyDescent="0.25">
      <c r="A14" s="71">
        <v>2300</v>
      </c>
      <c r="B14" s="72" t="s">
        <v>16</v>
      </c>
      <c r="C14" s="73">
        <v>10680</v>
      </c>
    </row>
    <row r="15" spans="1:3" ht="15" x14ac:dyDescent="0.25">
      <c r="A15" s="71">
        <v>2400</v>
      </c>
      <c r="B15" s="140" t="s">
        <v>61</v>
      </c>
      <c r="C15" s="115"/>
    </row>
    <row r="16" spans="1:3" ht="15" x14ac:dyDescent="0.25">
      <c r="A16" s="71">
        <v>2500</v>
      </c>
      <c r="B16" s="72" t="s">
        <v>17</v>
      </c>
      <c r="C16" s="115"/>
    </row>
    <row r="17" spans="1:3" ht="15" x14ac:dyDescent="0.25">
      <c r="A17" s="71">
        <v>4200</v>
      </c>
      <c r="B17" s="78" t="s">
        <v>19</v>
      </c>
      <c r="C17" s="115"/>
    </row>
    <row r="18" spans="1:3" ht="15" x14ac:dyDescent="0.25">
      <c r="A18" s="71">
        <v>4300</v>
      </c>
      <c r="B18" s="72" t="s">
        <v>20</v>
      </c>
      <c r="C18" s="115"/>
    </row>
    <row r="19" spans="1:3" ht="15" x14ac:dyDescent="0.25">
      <c r="A19" s="71">
        <v>5100</v>
      </c>
      <c r="B19" s="72" t="s">
        <v>22</v>
      </c>
      <c r="C19" s="115">
        <v>250</v>
      </c>
    </row>
    <row r="20" spans="1:3" ht="15" x14ac:dyDescent="0.25">
      <c r="A20" s="71">
        <v>5200</v>
      </c>
      <c r="B20" s="72" t="s">
        <v>23</v>
      </c>
      <c r="C20" s="115">
        <f>650+84</f>
        <v>734</v>
      </c>
    </row>
    <row r="21" spans="1:3" ht="15" x14ac:dyDescent="0.25">
      <c r="A21" s="71">
        <v>6200</v>
      </c>
      <c r="B21" s="72" t="s">
        <v>58</v>
      </c>
      <c r="C21" s="115"/>
    </row>
    <row r="22" spans="1:3" ht="30" x14ac:dyDescent="0.25">
      <c r="A22" s="228">
        <v>6500</v>
      </c>
      <c r="B22" s="9" t="s">
        <v>148</v>
      </c>
      <c r="C22" s="115"/>
    </row>
    <row r="23" spans="1:3" ht="15.75" customHeight="1" thickBot="1" x14ac:dyDescent="0.3">
      <c r="A23" s="139">
        <v>7200</v>
      </c>
      <c r="B23" s="140" t="s">
        <v>25</v>
      </c>
      <c r="C23" s="115"/>
    </row>
    <row r="24" spans="1:3" ht="18" customHeight="1" thickBot="1" x14ac:dyDescent="0.3">
      <c r="A24" s="62"/>
      <c r="B24" s="185" t="s">
        <v>26</v>
      </c>
      <c r="C24" s="103">
        <f>SUM(C9+C10+C11+C17+C18+C19+C20+C21+C22+C23)</f>
        <v>384620</v>
      </c>
    </row>
    <row r="25" spans="1:3" ht="15" x14ac:dyDescent="0.25">
      <c r="A25" s="4"/>
      <c r="B25" s="57"/>
    </row>
    <row r="26" spans="1:3" ht="15" x14ac:dyDescent="0.25">
      <c r="A26" s="1"/>
      <c r="B26" s="8" t="s">
        <v>149</v>
      </c>
      <c r="C26" s="1" t="s">
        <v>41</v>
      </c>
    </row>
    <row r="34" spans="2:3" s="107" customFormat="1" ht="15.75" x14ac:dyDescent="0.25">
      <c r="B34" s="226"/>
      <c r="C34" s="227"/>
    </row>
  </sheetData>
  <phoneticPr fontId="0" type="noConversion"/>
  <pageMargins left="1.82" right="0.74803149606299213" top="0.59055118110236227" bottom="0.59055118110236227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workbookViewId="0">
      <selection activeCell="Q8" sqref="Q8"/>
    </sheetView>
  </sheetViews>
  <sheetFormatPr defaultRowHeight="15" x14ac:dyDescent="0.25"/>
  <cols>
    <col min="1" max="1" width="61.28515625" style="1" customWidth="1"/>
    <col min="2" max="2" width="7.140625" style="1" customWidth="1"/>
    <col min="3" max="3" width="12.5703125" style="1" customWidth="1"/>
    <col min="4" max="7" width="9.140625" style="1"/>
    <col min="8" max="8" width="9.5703125" style="1" customWidth="1"/>
    <col min="9" max="9" width="9.85546875" style="1" customWidth="1"/>
    <col min="10" max="246" width="9.140625" style="1"/>
    <col min="247" max="247" width="50.42578125" style="1" customWidth="1"/>
    <col min="248" max="248" width="9.140625" style="1" customWidth="1"/>
    <col min="249" max="249" width="12.5703125" style="1" customWidth="1"/>
    <col min="250" max="502" width="9.140625" style="1"/>
    <col min="503" max="503" width="50.42578125" style="1" customWidth="1"/>
    <col min="504" max="504" width="9.140625" style="1" customWidth="1"/>
    <col min="505" max="505" width="12.5703125" style="1" customWidth="1"/>
    <col min="506" max="758" width="9.140625" style="1"/>
    <col min="759" max="759" width="50.42578125" style="1" customWidth="1"/>
    <col min="760" max="760" width="9.140625" style="1" customWidth="1"/>
    <col min="761" max="761" width="12.5703125" style="1" customWidth="1"/>
    <col min="762" max="1014" width="9.140625" style="1"/>
    <col min="1015" max="1015" width="50.42578125" style="1" customWidth="1"/>
    <col min="1016" max="1016" width="9.140625" style="1" customWidth="1"/>
    <col min="1017" max="1017" width="12.5703125" style="1" customWidth="1"/>
    <col min="1018" max="1270" width="9.140625" style="1"/>
    <col min="1271" max="1271" width="50.42578125" style="1" customWidth="1"/>
    <col min="1272" max="1272" width="9.140625" style="1" customWidth="1"/>
    <col min="1273" max="1273" width="12.5703125" style="1" customWidth="1"/>
    <col min="1274" max="1526" width="9.140625" style="1"/>
    <col min="1527" max="1527" width="50.42578125" style="1" customWidth="1"/>
    <col min="1528" max="1528" width="9.140625" style="1" customWidth="1"/>
    <col min="1529" max="1529" width="12.5703125" style="1" customWidth="1"/>
    <col min="1530" max="1782" width="9.140625" style="1"/>
    <col min="1783" max="1783" width="50.42578125" style="1" customWidth="1"/>
    <col min="1784" max="1784" width="9.140625" style="1" customWidth="1"/>
    <col min="1785" max="1785" width="12.5703125" style="1" customWidth="1"/>
    <col min="1786" max="2038" width="9.140625" style="1"/>
    <col min="2039" max="2039" width="50.42578125" style="1" customWidth="1"/>
    <col min="2040" max="2040" width="9.140625" style="1" customWidth="1"/>
    <col min="2041" max="2041" width="12.5703125" style="1" customWidth="1"/>
    <col min="2042" max="2294" width="9.140625" style="1"/>
    <col min="2295" max="2295" width="50.42578125" style="1" customWidth="1"/>
    <col min="2296" max="2296" width="9.140625" style="1" customWidth="1"/>
    <col min="2297" max="2297" width="12.5703125" style="1" customWidth="1"/>
    <col min="2298" max="2550" width="9.140625" style="1"/>
    <col min="2551" max="2551" width="50.42578125" style="1" customWidth="1"/>
    <col min="2552" max="2552" width="9.140625" style="1" customWidth="1"/>
    <col min="2553" max="2553" width="12.5703125" style="1" customWidth="1"/>
    <col min="2554" max="2806" width="9.140625" style="1"/>
    <col min="2807" max="2807" width="50.42578125" style="1" customWidth="1"/>
    <col min="2808" max="2808" width="9.140625" style="1" customWidth="1"/>
    <col min="2809" max="2809" width="12.5703125" style="1" customWidth="1"/>
    <col min="2810" max="3062" width="9.140625" style="1"/>
    <col min="3063" max="3063" width="50.42578125" style="1" customWidth="1"/>
    <col min="3064" max="3064" width="9.140625" style="1" customWidth="1"/>
    <col min="3065" max="3065" width="12.5703125" style="1" customWidth="1"/>
    <col min="3066" max="3318" width="9.140625" style="1"/>
    <col min="3319" max="3319" width="50.42578125" style="1" customWidth="1"/>
    <col min="3320" max="3320" width="9.140625" style="1" customWidth="1"/>
    <col min="3321" max="3321" width="12.5703125" style="1" customWidth="1"/>
    <col min="3322" max="3574" width="9.140625" style="1"/>
    <col min="3575" max="3575" width="50.42578125" style="1" customWidth="1"/>
    <col min="3576" max="3576" width="9.140625" style="1" customWidth="1"/>
    <col min="3577" max="3577" width="12.5703125" style="1" customWidth="1"/>
    <col min="3578" max="3830" width="9.140625" style="1"/>
    <col min="3831" max="3831" width="50.42578125" style="1" customWidth="1"/>
    <col min="3832" max="3832" width="9.140625" style="1" customWidth="1"/>
    <col min="3833" max="3833" width="12.5703125" style="1" customWidth="1"/>
    <col min="3834" max="4086" width="9.140625" style="1"/>
    <col min="4087" max="4087" width="50.42578125" style="1" customWidth="1"/>
    <col min="4088" max="4088" width="9.140625" style="1" customWidth="1"/>
    <col min="4089" max="4089" width="12.5703125" style="1" customWidth="1"/>
    <col min="4090" max="4342" width="9.140625" style="1"/>
    <col min="4343" max="4343" width="50.42578125" style="1" customWidth="1"/>
    <col min="4344" max="4344" width="9.140625" style="1" customWidth="1"/>
    <col min="4345" max="4345" width="12.5703125" style="1" customWidth="1"/>
    <col min="4346" max="4598" width="9.140625" style="1"/>
    <col min="4599" max="4599" width="50.42578125" style="1" customWidth="1"/>
    <col min="4600" max="4600" width="9.140625" style="1" customWidth="1"/>
    <col min="4601" max="4601" width="12.5703125" style="1" customWidth="1"/>
    <col min="4602" max="4854" width="9.140625" style="1"/>
    <col min="4855" max="4855" width="50.42578125" style="1" customWidth="1"/>
    <col min="4856" max="4856" width="9.140625" style="1" customWidth="1"/>
    <col min="4857" max="4857" width="12.5703125" style="1" customWidth="1"/>
    <col min="4858" max="5110" width="9.140625" style="1"/>
    <col min="5111" max="5111" width="50.42578125" style="1" customWidth="1"/>
    <col min="5112" max="5112" width="9.140625" style="1" customWidth="1"/>
    <col min="5113" max="5113" width="12.5703125" style="1" customWidth="1"/>
    <col min="5114" max="5366" width="9.140625" style="1"/>
    <col min="5367" max="5367" width="50.42578125" style="1" customWidth="1"/>
    <col min="5368" max="5368" width="9.140625" style="1" customWidth="1"/>
    <col min="5369" max="5369" width="12.5703125" style="1" customWidth="1"/>
    <col min="5370" max="5622" width="9.140625" style="1"/>
    <col min="5623" max="5623" width="50.42578125" style="1" customWidth="1"/>
    <col min="5624" max="5624" width="9.140625" style="1" customWidth="1"/>
    <col min="5625" max="5625" width="12.5703125" style="1" customWidth="1"/>
    <col min="5626" max="5878" width="9.140625" style="1"/>
    <col min="5879" max="5879" width="50.42578125" style="1" customWidth="1"/>
    <col min="5880" max="5880" width="9.140625" style="1" customWidth="1"/>
    <col min="5881" max="5881" width="12.5703125" style="1" customWidth="1"/>
    <col min="5882" max="6134" width="9.140625" style="1"/>
    <col min="6135" max="6135" width="50.42578125" style="1" customWidth="1"/>
    <col min="6136" max="6136" width="9.140625" style="1" customWidth="1"/>
    <col min="6137" max="6137" width="12.5703125" style="1" customWidth="1"/>
    <col min="6138" max="6390" width="9.140625" style="1"/>
    <col min="6391" max="6391" width="50.42578125" style="1" customWidth="1"/>
    <col min="6392" max="6392" width="9.140625" style="1" customWidth="1"/>
    <col min="6393" max="6393" width="12.5703125" style="1" customWidth="1"/>
    <col min="6394" max="6646" width="9.140625" style="1"/>
    <col min="6647" max="6647" width="50.42578125" style="1" customWidth="1"/>
    <col min="6648" max="6648" width="9.140625" style="1" customWidth="1"/>
    <col min="6649" max="6649" width="12.5703125" style="1" customWidth="1"/>
    <col min="6650" max="6902" width="9.140625" style="1"/>
    <col min="6903" max="6903" width="50.42578125" style="1" customWidth="1"/>
    <col min="6904" max="6904" width="9.140625" style="1" customWidth="1"/>
    <col min="6905" max="6905" width="12.5703125" style="1" customWidth="1"/>
    <col min="6906" max="7158" width="9.140625" style="1"/>
    <col min="7159" max="7159" width="50.42578125" style="1" customWidth="1"/>
    <col min="7160" max="7160" width="9.140625" style="1" customWidth="1"/>
    <col min="7161" max="7161" width="12.5703125" style="1" customWidth="1"/>
    <col min="7162" max="7414" width="9.140625" style="1"/>
    <col min="7415" max="7415" width="50.42578125" style="1" customWidth="1"/>
    <col min="7416" max="7416" width="9.140625" style="1" customWidth="1"/>
    <col min="7417" max="7417" width="12.5703125" style="1" customWidth="1"/>
    <col min="7418" max="7670" width="9.140625" style="1"/>
    <col min="7671" max="7671" width="50.42578125" style="1" customWidth="1"/>
    <col min="7672" max="7672" width="9.140625" style="1" customWidth="1"/>
    <col min="7673" max="7673" width="12.5703125" style="1" customWidth="1"/>
    <col min="7674" max="7926" width="9.140625" style="1"/>
    <col min="7927" max="7927" width="50.42578125" style="1" customWidth="1"/>
    <col min="7928" max="7928" width="9.140625" style="1" customWidth="1"/>
    <col min="7929" max="7929" width="12.5703125" style="1" customWidth="1"/>
    <col min="7930" max="8182" width="9.140625" style="1"/>
    <col min="8183" max="8183" width="50.42578125" style="1" customWidth="1"/>
    <col min="8184" max="8184" width="9.140625" style="1" customWidth="1"/>
    <col min="8185" max="8185" width="12.5703125" style="1" customWidth="1"/>
    <col min="8186" max="8438" width="9.140625" style="1"/>
    <col min="8439" max="8439" width="50.42578125" style="1" customWidth="1"/>
    <col min="8440" max="8440" width="9.140625" style="1" customWidth="1"/>
    <col min="8441" max="8441" width="12.5703125" style="1" customWidth="1"/>
    <col min="8442" max="8694" width="9.140625" style="1"/>
    <col min="8695" max="8695" width="50.42578125" style="1" customWidth="1"/>
    <col min="8696" max="8696" width="9.140625" style="1" customWidth="1"/>
    <col min="8697" max="8697" width="12.5703125" style="1" customWidth="1"/>
    <col min="8698" max="8950" width="9.140625" style="1"/>
    <col min="8951" max="8951" width="50.42578125" style="1" customWidth="1"/>
    <col min="8952" max="8952" width="9.140625" style="1" customWidth="1"/>
    <col min="8953" max="8953" width="12.5703125" style="1" customWidth="1"/>
    <col min="8954" max="9206" width="9.140625" style="1"/>
    <col min="9207" max="9207" width="50.42578125" style="1" customWidth="1"/>
    <col min="9208" max="9208" width="9.140625" style="1" customWidth="1"/>
    <col min="9209" max="9209" width="12.5703125" style="1" customWidth="1"/>
    <col min="9210" max="9462" width="9.140625" style="1"/>
    <col min="9463" max="9463" width="50.42578125" style="1" customWidth="1"/>
    <col min="9464" max="9464" width="9.140625" style="1" customWidth="1"/>
    <col min="9465" max="9465" width="12.5703125" style="1" customWidth="1"/>
    <col min="9466" max="9718" width="9.140625" style="1"/>
    <col min="9719" max="9719" width="50.42578125" style="1" customWidth="1"/>
    <col min="9720" max="9720" width="9.140625" style="1" customWidth="1"/>
    <col min="9721" max="9721" width="12.5703125" style="1" customWidth="1"/>
    <col min="9722" max="9974" width="9.140625" style="1"/>
    <col min="9975" max="9975" width="50.42578125" style="1" customWidth="1"/>
    <col min="9976" max="9976" width="9.140625" style="1" customWidth="1"/>
    <col min="9977" max="9977" width="12.5703125" style="1" customWidth="1"/>
    <col min="9978" max="10230" width="9.140625" style="1"/>
    <col min="10231" max="10231" width="50.42578125" style="1" customWidth="1"/>
    <col min="10232" max="10232" width="9.140625" style="1" customWidth="1"/>
    <col min="10233" max="10233" width="12.5703125" style="1" customWidth="1"/>
    <col min="10234" max="10486" width="9.140625" style="1"/>
    <col min="10487" max="10487" width="50.42578125" style="1" customWidth="1"/>
    <col min="10488" max="10488" width="9.140625" style="1" customWidth="1"/>
    <col min="10489" max="10489" width="12.5703125" style="1" customWidth="1"/>
    <col min="10490" max="10742" width="9.140625" style="1"/>
    <col min="10743" max="10743" width="50.42578125" style="1" customWidth="1"/>
    <col min="10744" max="10744" width="9.140625" style="1" customWidth="1"/>
    <col min="10745" max="10745" width="12.5703125" style="1" customWidth="1"/>
    <col min="10746" max="10998" width="9.140625" style="1"/>
    <col min="10999" max="10999" width="50.42578125" style="1" customWidth="1"/>
    <col min="11000" max="11000" width="9.140625" style="1" customWidth="1"/>
    <col min="11001" max="11001" width="12.5703125" style="1" customWidth="1"/>
    <col min="11002" max="11254" width="9.140625" style="1"/>
    <col min="11255" max="11255" width="50.42578125" style="1" customWidth="1"/>
    <col min="11256" max="11256" width="9.140625" style="1" customWidth="1"/>
    <col min="11257" max="11257" width="12.5703125" style="1" customWidth="1"/>
    <col min="11258" max="11510" width="9.140625" style="1"/>
    <col min="11511" max="11511" width="50.42578125" style="1" customWidth="1"/>
    <col min="11512" max="11512" width="9.140625" style="1" customWidth="1"/>
    <col min="11513" max="11513" width="12.5703125" style="1" customWidth="1"/>
    <col min="11514" max="11766" width="9.140625" style="1"/>
    <col min="11767" max="11767" width="50.42578125" style="1" customWidth="1"/>
    <col min="11768" max="11768" width="9.140625" style="1" customWidth="1"/>
    <col min="11769" max="11769" width="12.5703125" style="1" customWidth="1"/>
    <col min="11770" max="12022" width="9.140625" style="1"/>
    <col min="12023" max="12023" width="50.42578125" style="1" customWidth="1"/>
    <col min="12024" max="12024" width="9.140625" style="1" customWidth="1"/>
    <col min="12025" max="12025" width="12.5703125" style="1" customWidth="1"/>
    <col min="12026" max="12278" width="9.140625" style="1"/>
    <col min="12279" max="12279" width="50.42578125" style="1" customWidth="1"/>
    <col min="12280" max="12280" width="9.140625" style="1" customWidth="1"/>
    <col min="12281" max="12281" width="12.5703125" style="1" customWidth="1"/>
    <col min="12282" max="12534" width="9.140625" style="1"/>
    <col min="12535" max="12535" width="50.42578125" style="1" customWidth="1"/>
    <col min="12536" max="12536" width="9.140625" style="1" customWidth="1"/>
    <col min="12537" max="12537" width="12.5703125" style="1" customWidth="1"/>
    <col min="12538" max="12790" width="9.140625" style="1"/>
    <col min="12791" max="12791" width="50.42578125" style="1" customWidth="1"/>
    <col min="12792" max="12792" width="9.140625" style="1" customWidth="1"/>
    <col min="12793" max="12793" width="12.5703125" style="1" customWidth="1"/>
    <col min="12794" max="13046" width="9.140625" style="1"/>
    <col min="13047" max="13047" width="50.42578125" style="1" customWidth="1"/>
    <col min="13048" max="13048" width="9.140625" style="1" customWidth="1"/>
    <col min="13049" max="13049" width="12.5703125" style="1" customWidth="1"/>
    <col min="13050" max="13302" width="9.140625" style="1"/>
    <col min="13303" max="13303" width="50.42578125" style="1" customWidth="1"/>
    <col min="13304" max="13304" width="9.140625" style="1" customWidth="1"/>
    <col min="13305" max="13305" width="12.5703125" style="1" customWidth="1"/>
    <col min="13306" max="13558" width="9.140625" style="1"/>
    <col min="13559" max="13559" width="50.42578125" style="1" customWidth="1"/>
    <col min="13560" max="13560" width="9.140625" style="1" customWidth="1"/>
    <col min="13561" max="13561" width="12.5703125" style="1" customWidth="1"/>
    <col min="13562" max="13814" width="9.140625" style="1"/>
    <col min="13815" max="13815" width="50.42578125" style="1" customWidth="1"/>
    <col min="13816" max="13816" width="9.140625" style="1" customWidth="1"/>
    <col min="13817" max="13817" width="12.5703125" style="1" customWidth="1"/>
    <col min="13818" max="14070" width="9.140625" style="1"/>
    <col min="14071" max="14071" width="50.42578125" style="1" customWidth="1"/>
    <col min="14072" max="14072" width="9.140625" style="1" customWidth="1"/>
    <col min="14073" max="14073" width="12.5703125" style="1" customWidth="1"/>
    <col min="14074" max="14326" width="9.140625" style="1"/>
    <col min="14327" max="14327" width="50.42578125" style="1" customWidth="1"/>
    <col min="14328" max="14328" width="9.140625" style="1" customWidth="1"/>
    <col min="14329" max="14329" width="12.5703125" style="1" customWidth="1"/>
    <col min="14330" max="14582" width="9.140625" style="1"/>
    <col min="14583" max="14583" width="50.42578125" style="1" customWidth="1"/>
    <col min="14584" max="14584" width="9.140625" style="1" customWidth="1"/>
    <col min="14585" max="14585" width="12.5703125" style="1" customWidth="1"/>
    <col min="14586" max="14838" width="9.140625" style="1"/>
    <col min="14839" max="14839" width="50.42578125" style="1" customWidth="1"/>
    <col min="14840" max="14840" width="9.140625" style="1" customWidth="1"/>
    <col min="14841" max="14841" width="12.5703125" style="1" customWidth="1"/>
    <col min="14842" max="15094" width="9.140625" style="1"/>
    <col min="15095" max="15095" width="50.42578125" style="1" customWidth="1"/>
    <col min="15096" max="15096" width="9.140625" style="1" customWidth="1"/>
    <col min="15097" max="15097" width="12.5703125" style="1" customWidth="1"/>
    <col min="15098" max="15350" width="9.140625" style="1"/>
    <col min="15351" max="15351" width="50.42578125" style="1" customWidth="1"/>
    <col min="15352" max="15352" width="9.140625" style="1" customWidth="1"/>
    <col min="15353" max="15353" width="12.5703125" style="1" customWidth="1"/>
    <col min="15354" max="15606" width="9.140625" style="1"/>
    <col min="15607" max="15607" width="50.42578125" style="1" customWidth="1"/>
    <col min="15608" max="15608" width="9.140625" style="1" customWidth="1"/>
    <col min="15609" max="15609" width="12.5703125" style="1" customWidth="1"/>
    <col min="15610" max="15862" width="9.140625" style="1"/>
    <col min="15863" max="15863" width="50.42578125" style="1" customWidth="1"/>
    <col min="15864" max="15864" width="9.140625" style="1" customWidth="1"/>
    <col min="15865" max="15865" width="12.5703125" style="1" customWidth="1"/>
    <col min="15866" max="16118" width="9.140625" style="1"/>
    <col min="16119" max="16119" width="50.42578125" style="1" customWidth="1"/>
    <col min="16120" max="16120" width="9.140625" style="1" customWidth="1"/>
    <col min="16121" max="16121" width="12.5703125" style="1" customWidth="1"/>
    <col min="16122" max="16384" width="9.140625" style="1"/>
  </cols>
  <sheetData>
    <row r="1" spans="1:9" x14ac:dyDescent="0.25">
      <c r="B1" s="8"/>
      <c r="C1" s="2" t="s">
        <v>572</v>
      </c>
    </row>
    <row r="2" spans="1:9" ht="18.75" customHeight="1" thickBot="1" x14ac:dyDescent="0.35">
      <c r="A2" s="1031" t="s">
        <v>189</v>
      </c>
      <c r="B2" s="1031"/>
      <c r="C2" s="8"/>
    </row>
    <row r="3" spans="1:9" ht="30.75" thickBot="1" x14ac:dyDescent="0.3">
      <c r="A3" s="261" t="s">
        <v>46</v>
      </c>
      <c r="B3" s="262" t="s">
        <v>7</v>
      </c>
      <c r="C3" s="841" t="s">
        <v>452</v>
      </c>
      <c r="H3" s="111"/>
      <c r="I3" s="570"/>
    </row>
    <row r="4" spans="1:9" x14ac:dyDescent="0.25">
      <c r="A4" s="916" t="s">
        <v>581</v>
      </c>
      <c r="B4" s="915">
        <v>3200</v>
      </c>
      <c r="C4" s="917">
        <v>11000</v>
      </c>
      <c r="H4" s="111"/>
      <c r="I4" s="570"/>
    </row>
    <row r="5" spans="1:9" ht="15.75" thickBot="1" x14ac:dyDescent="0.3">
      <c r="A5" s="842" t="s">
        <v>190</v>
      </c>
      <c r="B5" s="843">
        <v>3200</v>
      </c>
      <c r="C5" s="844">
        <v>10000</v>
      </c>
    </row>
    <row r="6" spans="1:9" ht="15.75" thickBot="1" x14ac:dyDescent="0.3">
      <c r="A6" s="845" t="s">
        <v>30</v>
      </c>
      <c r="B6" s="846"/>
      <c r="C6" s="847">
        <f>SUM(C4:C5)</f>
        <v>21000</v>
      </c>
    </row>
    <row r="7" spans="1:9" ht="41.25" customHeight="1" thickBot="1" x14ac:dyDescent="0.35">
      <c r="A7" s="1031" t="s">
        <v>382</v>
      </c>
      <c r="B7" s="1031"/>
    </row>
    <row r="8" spans="1:9" ht="30.75" thickBot="1" x14ac:dyDescent="0.3">
      <c r="A8" s="261" t="s">
        <v>46</v>
      </c>
      <c r="B8" s="848" t="s">
        <v>7</v>
      </c>
      <c r="C8" s="64" t="s">
        <v>452</v>
      </c>
    </row>
    <row r="9" spans="1:9" x14ac:dyDescent="0.25">
      <c r="A9" s="849" t="s">
        <v>376</v>
      </c>
      <c r="B9" s="67">
        <v>5200</v>
      </c>
      <c r="C9" s="850">
        <f>85000-12040</f>
        <v>72960</v>
      </c>
    </row>
    <row r="10" spans="1:9" x14ac:dyDescent="0.25">
      <c r="A10" s="851" t="s">
        <v>573</v>
      </c>
      <c r="B10" s="78">
        <v>2200</v>
      </c>
      <c r="C10" s="852">
        <v>503960</v>
      </c>
      <c r="H10" s="538"/>
      <c r="I10" s="538"/>
    </row>
    <row r="11" spans="1:9" x14ac:dyDescent="0.25">
      <c r="A11" s="851" t="s">
        <v>613</v>
      </c>
      <c r="B11" s="78">
        <v>5200</v>
      </c>
      <c r="C11" s="852">
        <v>12100</v>
      </c>
      <c r="H11" s="538"/>
      <c r="I11" s="538"/>
    </row>
    <row r="12" spans="1:9" ht="20.100000000000001" customHeight="1" x14ac:dyDescent="0.25">
      <c r="A12" s="45" t="s">
        <v>525</v>
      </c>
      <c r="B12" s="78">
        <v>2300</v>
      </c>
      <c r="C12" s="853">
        <f>10000-10000</f>
        <v>0</v>
      </c>
      <c r="H12" s="538"/>
      <c r="I12" s="538"/>
    </row>
    <row r="13" spans="1:9" x14ac:dyDescent="0.25">
      <c r="A13" s="851" t="s">
        <v>614</v>
      </c>
      <c r="B13" s="78">
        <v>5200</v>
      </c>
      <c r="C13" s="852">
        <v>15000</v>
      </c>
      <c r="H13" s="538"/>
      <c r="I13" s="538"/>
    </row>
    <row r="14" spans="1:9" x14ac:dyDescent="0.25">
      <c r="A14" s="45" t="s">
        <v>615</v>
      </c>
      <c r="B14" s="78">
        <v>5200</v>
      </c>
      <c r="C14" s="853">
        <v>10000</v>
      </c>
      <c r="H14" s="538"/>
      <c r="I14" s="538"/>
    </row>
    <row r="15" spans="1:9" ht="30" x14ac:dyDescent="0.25">
      <c r="A15" s="854" t="s">
        <v>396</v>
      </c>
      <c r="B15" s="78">
        <v>2200</v>
      </c>
      <c r="C15" s="855">
        <v>614387</v>
      </c>
      <c r="H15" s="538"/>
      <c r="I15" s="538"/>
    </row>
    <row r="16" spans="1:9" ht="30" x14ac:dyDescent="0.25">
      <c r="A16" s="233" t="s">
        <v>468</v>
      </c>
      <c r="B16" s="78">
        <v>2200</v>
      </c>
      <c r="C16" s="855">
        <v>49268</v>
      </c>
      <c r="H16" s="538"/>
      <c r="I16" s="538"/>
    </row>
    <row r="17" spans="1:9" x14ac:dyDescent="0.25">
      <c r="A17" s="856" t="s">
        <v>265</v>
      </c>
      <c r="B17" s="78">
        <v>2200</v>
      </c>
      <c r="C17" s="855">
        <v>4000</v>
      </c>
      <c r="H17" s="538"/>
      <c r="I17" s="538"/>
    </row>
    <row r="18" spans="1:9" ht="30" x14ac:dyDescent="0.25">
      <c r="A18" s="851" t="s">
        <v>377</v>
      </c>
      <c r="B18" s="78">
        <v>2200</v>
      </c>
      <c r="C18" s="855">
        <v>11264</v>
      </c>
      <c r="H18" s="538"/>
      <c r="I18" s="538"/>
    </row>
    <row r="19" spans="1:9" ht="30" x14ac:dyDescent="0.25">
      <c r="A19" s="854" t="s">
        <v>496</v>
      </c>
      <c r="B19" s="857">
        <v>2200</v>
      </c>
      <c r="C19" s="858">
        <v>5000</v>
      </c>
      <c r="H19" s="538"/>
      <c r="I19" s="538"/>
    </row>
    <row r="20" spans="1:9" ht="30" x14ac:dyDescent="0.25">
      <c r="A20" s="435" t="s">
        <v>470</v>
      </c>
      <c r="B20" s="78">
        <v>2200</v>
      </c>
      <c r="C20" s="859">
        <v>8137</v>
      </c>
      <c r="H20" s="538"/>
      <c r="I20" s="538"/>
    </row>
    <row r="21" spans="1:9" ht="30" x14ac:dyDescent="0.25">
      <c r="A21" s="854" t="s">
        <v>616</v>
      </c>
      <c r="B21" s="857">
        <v>2200</v>
      </c>
      <c r="C21" s="858">
        <v>2886</v>
      </c>
      <c r="H21" s="538"/>
      <c r="I21" s="538"/>
    </row>
    <row r="22" spans="1:9" ht="30" x14ac:dyDescent="0.25">
      <c r="A22" s="860" t="s">
        <v>378</v>
      </c>
      <c r="B22" s="861">
        <v>5200</v>
      </c>
      <c r="C22" s="862">
        <v>111000</v>
      </c>
      <c r="H22" s="538"/>
      <c r="I22" s="538"/>
    </row>
    <row r="23" spans="1:9" ht="30" x14ac:dyDescent="0.25">
      <c r="A23" s="860" t="s">
        <v>454</v>
      </c>
      <c r="B23" s="861">
        <v>5200</v>
      </c>
      <c r="C23" s="863">
        <v>58000</v>
      </c>
      <c r="H23" s="538"/>
      <c r="I23" s="538"/>
    </row>
    <row r="24" spans="1:9" ht="30" customHeight="1" x14ac:dyDescent="0.25">
      <c r="A24" s="864" t="s">
        <v>617</v>
      </c>
      <c r="B24" s="861">
        <v>5200</v>
      </c>
      <c r="C24" s="862">
        <v>310</v>
      </c>
      <c r="H24" s="538"/>
      <c r="I24" s="538"/>
    </row>
    <row r="25" spans="1:9" ht="30.75" thickBot="1" x14ac:dyDescent="0.3">
      <c r="A25" s="467" t="s">
        <v>436</v>
      </c>
      <c r="B25" s="865">
        <v>2200</v>
      </c>
      <c r="C25" s="866">
        <v>7000</v>
      </c>
      <c r="H25" s="538"/>
      <c r="I25" s="538"/>
    </row>
    <row r="26" spans="1:9" ht="15.75" thickBot="1" x14ac:dyDescent="0.3">
      <c r="A26" s="238" t="s">
        <v>30</v>
      </c>
      <c r="B26" s="867"/>
      <c r="C26" s="868">
        <f>SUM(C9:C25)</f>
        <v>1485272</v>
      </c>
      <c r="H26" s="538"/>
      <c r="I26" s="538"/>
    </row>
    <row r="27" spans="1:9" x14ac:dyDescent="0.25">
      <c r="A27" s="7"/>
      <c r="B27" s="7"/>
      <c r="C27" s="13"/>
      <c r="H27" s="538"/>
      <c r="I27" s="538"/>
    </row>
    <row r="28" spans="1:9" ht="38.25" customHeight="1" thickBot="1" x14ac:dyDescent="0.35">
      <c r="A28" s="1031" t="s">
        <v>383</v>
      </c>
      <c r="B28" s="1031"/>
      <c r="C28" s="1031"/>
      <c r="H28" s="538"/>
      <c r="I28" s="538"/>
    </row>
    <row r="29" spans="1:9" ht="30.75" thickBot="1" x14ac:dyDescent="0.3">
      <c r="A29" s="261" t="s">
        <v>46</v>
      </c>
      <c r="B29" s="262" t="s">
        <v>7</v>
      </c>
      <c r="C29" s="841" t="s">
        <v>452</v>
      </c>
      <c r="H29" s="538"/>
      <c r="I29" s="538"/>
    </row>
    <row r="30" spans="1:9" x14ac:dyDescent="0.25">
      <c r="A30" s="869" t="s">
        <v>384</v>
      </c>
      <c r="B30" s="263">
        <v>2300</v>
      </c>
      <c r="C30" s="870">
        <v>300</v>
      </c>
      <c r="H30" s="538"/>
      <c r="I30" s="538"/>
    </row>
    <row r="31" spans="1:9" ht="16.5" customHeight="1" thickBot="1" x14ac:dyDescent="0.3">
      <c r="A31" s="871" t="s">
        <v>385</v>
      </c>
      <c r="B31" s="237">
        <v>2200</v>
      </c>
      <c r="C31" s="872">
        <v>7513</v>
      </c>
      <c r="H31" s="538"/>
      <c r="I31" s="538"/>
    </row>
    <row r="32" spans="1:9" ht="16.5" customHeight="1" thickBot="1" x14ac:dyDescent="0.3">
      <c r="A32" s="238" t="s">
        <v>30</v>
      </c>
      <c r="B32" s="873"/>
      <c r="C32" s="874">
        <f>SUM(C30:C31)</f>
        <v>7813</v>
      </c>
      <c r="H32" s="538"/>
      <c r="I32" s="538"/>
    </row>
    <row r="33" spans="1:9" x14ac:dyDescent="0.25">
      <c r="A33" s="8"/>
      <c r="B33" s="8"/>
      <c r="H33" s="538"/>
      <c r="I33" s="538"/>
    </row>
    <row r="34" spans="1:9" ht="36.75" customHeight="1" thickBot="1" x14ac:dyDescent="0.35">
      <c r="A34" s="1031" t="s">
        <v>379</v>
      </c>
      <c r="B34" s="1031"/>
      <c r="C34" s="1031"/>
      <c r="H34" s="538"/>
      <c r="I34" s="538"/>
    </row>
    <row r="35" spans="1:9" ht="30.75" thickBot="1" x14ac:dyDescent="0.3">
      <c r="A35" s="261" t="s">
        <v>46</v>
      </c>
      <c r="B35" s="848" t="s">
        <v>7</v>
      </c>
      <c r="C35" s="64" t="s">
        <v>452</v>
      </c>
      <c r="H35" s="538"/>
      <c r="I35" s="538"/>
    </row>
    <row r="36" spans="1:9" x14ac:dyDescent="0.25">
      <c r="A36" s="875" t="s">
        <v>386</v>
      </c>
      <c r="B36" s="861">
        <v>2200</v>
      </c>
      <c r="C36" s="876">
        <v>712</v>
      </c>
      <c r="H36" s="538"/>
      <c r="I36" s="538"/>
    </row>
    <row r="37" spans="1:9" x14ac:dyDescent="0.25">
      <c r="A37" s="877" t="s">
        <v>387</v>
      </c>
      <c r="B37" s="878">
        <v>2200</v>
      </c>
      <c r="C37" s="879">
        <v>24200</v>
      </c>
      <c r="H37" s="538"/>
      <c r="I37" s="538"/>
    </row>
    <row r="38" spans="1:9" x14ac:dyDescent="0.25">
      <c r="A38" s="877" t="s">
        <v>618</v>
      </c>
      <c r="B38" s="878">
        <v>5200</v>
      </c>
      <c r="C38" s="879">
        <v>24200</v>
      </c>
      <c r="H38" s="538"/>
      <c r="I38" s="538"/>
    </row>
    <row r="39" spans="1:9" ht="30" x14ac:dyDescent="0.25">
      <c r="A39" s="877" t="s">
        <v>619</v>
      </c>
      <c r="B39" s="878">
        <v>5200</v>
      </c>
      <c r="C39" s="879">
        <v>27830</v>
      </c>
      <c r="H39" s="538"/>
      <c r="I39" s="538"/>
    </row>
    <row r="40" spans="1:9" ht="30" x14ac:dyDescent="0.25">
      <c r="A40" s="880" t="s">
        <v>388</v>
      </c>
      <c r="B40" s="878">
        <v>2200</v>
      </c>
      <c r="C40" s="879">
        <v>546</v>
      </c>
    </row>
    <row r="41" spans="1:9" x14ac:dyDescent="0.25">
      <c r="A41" s="875" t="s">
        <v>620</v>
      </c>
      <c r="B41" s="878">
        <v>2200</v>
      </c>
      <c r="C41" s="879">
        <v>1210</v>
      </c>
    </row>
    <row r="42" spans="1:9" ht="30" x14ac:dyDescent="0.25">
      <c r="A42" s="875" t="s">
        <v>621</v>
      </c>
      <c r="B42" s="878">
        <v>2200</v>
      </c>
      <c r="C42" s="879">
        <v>6050</v>
      </c>
    </row>
    <row r="43" spans="1:9" ht="30" x14ac:dyDescent="0.25">
      <c r="A43" s="875" t="s">
        <v>622</v>
      </c>
      <c r="B43" s="878">
        <v>2200</v>
      </c>
      <c r="C43" s="879">
        <v>1500</v>
      </c>
    </row>
    <row r="44" spans="1:9" ht="30.75" thickBot="1" x14ac:dyDescent="0.3">
      <c r="A44" s="881" t="s">
        <v>339</v>
      </c>
      <c r="B44" s="882">
        <v>2200</v>
      </c>
      <c r="C44" s="883">
        <v>10000</v>
      </c>
    </row>
    <row r="45" spans="1:9" ht="15.75" thickBot="1" x14ac:dyDescent="0.3">
      <c r="A45" s="238" t="s">
        <v>30</v>
      </c>
      <c r="B45" s="873"/>
      <c r="C45" s="874">
        <f>SUM(C36:C44)</f>
        <v>96248</v>
      </c>
    </row>
    <row r="47" spans="1:9" ht="36.75" customHeight="1" thickBot="1" x14ac:dyDescent="0.35">
      <c r="A47" s="1031" t="s">
        <v>380</v>
      </c>
      <c r="B47" s="1031"/>
      <c r="C47" s="1031"/>
    </row>
    <row r="48" spans="1:9" ht="30.75" thickBot="1" x14ac:dyDescent="0.3">
      <c r="A48" s="261" t="s">
        <v>46</v>
      </c>
      <c r="B48" s="848" t="s">
        <v>7</v>
      </c>
      <c r="C48" s="64" t="s">
        <v>452</v>
      </c>
      <c r="H48" s="111"/>
      <c r="I48" s="570"/>
    </row>
    <row r="49" spans="1:3" x14ac:dyDescent="0.25">
      <c r="A49" s="875" t="s">
        <v>389</v>
      </c>
      <c r="B49" s="861">
        <v>2200</v>
      </c>
      <c r="C49" s="876">
        <v>1827</v>
      </c>
    </row>
    <row r="50" spans="1:3" ht="30" x14ac:dyDescent="0.25">
      <c r="A50" s="884" t="s">
        <v>390</v>
      </c>
      <c r="B50" s="878">
        <v>5200</v>
      </c>
      <c r="C50" s="879">
        <v>919</v>
      </c>
    </row>
    <row r="51" spans="1:3" x14ac:dyDescent="0.25">
      <c r="A51" s="884" t="s">
        <v>391</v>
      </c>
      <c r="B51" s="878">
        <v>2200</v>
      </c>
      <c r="C51" s="879">
        <v>3498</v>
      </c>
    </row>
    <row r="52" spans="1:3" ht="30" x14ac:dyDescent="0.25">
      <c r="A52" s="885" t="s">
        <v>392</v>
      </c>
      <c r="B52" s="878">
        <v>1100</v>
      </c>
      <c r="C52" s="879">
        <v>685</v>
      </c>
    </row>
    <row r="53" spans="1:3" ht="30" x14ac:dyDescent="0.25">
      <c r="A53" s="885" t="s">
        <v>392</v>
      </c>
      <c r="B53" s="878">
        <v>1200</v>
      </c>
      <c r="C53" s="879">
        <v>162</v>
      </c>
    </row>
    <row r="54" spans="1:3" ht="31.5" x14ac:dyDescent="0.25">
      <c r="A54" s="30" t="s">
        <v>623</v>
      </c>
      <c r="B54" s="878">
        <v>2200</v>
      </c>
      <c r="C54" s="879">
        <v>1271</v>
      </c>
    </row>
    <row r="55" spans="1:3" ht="31.5" x14ac:dyDescent="0.25">
      <c r="A55" s="30" t="s">
        <v>624</v>
      </c>
      <c r="B55" s="878">
        <v>1100</v>
      </c>
      <c r="C55" s="879">
        <v>343</v>
      </c>
    </row>
    <row r="56" spans="1:3" ht="31.5" x14ac:dyDescent="0.25">
      <c r="A56" s="30" t="s">
        <v>624</v>
      </c>
      <c r="B56" s="878">
        <v>1200</v>
      </c>
      <c r="C56" s="879">
        <v>81</v>
      </c>
    </row>
    <row r="57" spans="1:3" ht="14.25" customHeight="1" x14ac:dyDescent="0.25">
      <c r="A57" s="884" t="s">
        <v>393</v>
      </c>
      <c r="B57" s="878">
        <v>2200</v>
      </c>
      <c r="C57" s="879">
        <v>5000</v>
      </c>
    </row>
    <row r="58" spans="1:3" x14ac:dyDescent="0.25">
      <c r="A58" s="884" t="s">
        <v>394</v>
      </c>
      <c r="B58" s="878">
        <v>2200</v>
      </c>
      <c r="C58" s="879">
        <v>6000</v>
      </c>
    </row>
    <row r="59" spans="1:3" ht="30" x14ac:dyDescent="0.25">
      <c r="A59" s="886" t="s">
        <v>395</v>
      </c>
      <c r="B59" s="878">
        <v>2200</v>
      </c>
      <c r="C59" s="879">
        <v>356</v>
      </c>
    </row>
    <row r="60" spans="1:3" ht="30" x14ac:dyDescent="0.25">
      <c r="A60" s="233" t="s">
        <v>625</v>
      </c>
      <c r="B60" s="878">
        <v>2200</v>
      </c>
      <c r="C60" s="879">
        <v>380</v>
      </c>
    </row>
    <row r="61" spans="1:3" x14ac:dyDescent="0.25">
      <c r="A61" s="264" t="s">
        <v>626</v>
      </c>
      <c r="B61" s="878">
        <v>2300</v>
      </c>
      <c r="C61" s="879">
        <v>1210</v>
      </c>
    </row>
    <row r="62" spans="1:3" ht="15.75" x14ac:dyDescent="0.25">
      <c r="A62" s="887" t="s">
        <v>627</v>
      </c>
      <c r="B62" s="878">
        <v>5200</v>
      </c>
      <c r="C62" s="879">
        <v>11020</v>
      </c>
    </row>
    <row r="63" spans="1:3" x14ac:dyDescent="0.25">
      <c r="A63" s="888" t="s">
        <v>381</v>
      </c>
      <c r="B63" s="889">
        <v>3200</v>
      </c>
      <c r="C63" s="890">
        <v>2000</v>
      </c>
    </row>
    <row r="64" spans="1:3" ht="30" x14ac:dyDescent="0.25">
      <c r="A64" s="900" t="s">
        <v>582</v>
      </c>
      <c r="B64" s="878">
        <v>3200</v>
      </c>
      <c r="C64" s="879">
        <v>3300</v>
      </c>
    </row>
    <row r="65" spans="1:3" ht="15.75" thickBot="1" x14ac:dyDescent="0.3">
      <c r="A65" s="900" t="s">
        <v>628</v>
      </c>
      <c r="B65" s="878">
        <v>2200</v>
      </c>
      <c r="C65" s="883">
        <v>4385</v>
      </c>
    </row>
    <row r="66" spans="1:3" ht="15.75" thickBot="1" x14ac:dyDescent="0.3">
      <c r="A66" s="238" t="s">
        <v>30</v>
      </c>
      <c r="B66" s="891"/>
      <c r="C66" s="892">
        <f>SUM(C49:C65)</f>
        <v>42437</v>
      </c>
    </row>
    <row r="68" spans="1:3" x14ac:dyDescent="0.25">
      <c r="A68" s="8" t="s">
        <v>155</v>
      </c>
      <c r="B68" s="8"/>
      <c r="C68" s="1" t="s">
        <v>41</v>
      </c>
    </row>
  </sheetData>
  <mergeCells count="5">
    <mergeCell ref="A47:C47"/>
    <mergeCell ref="A7:B7"/>
    <mergeCell ref="A2:B2"/>
    <mergeCell ref="A28:C28"/>
    <mergeCell ref="A34:C34"/>
  </mergeCells>
  <phoneticPr fontId="0" type="noConversion"/>
  <pageMargins left="0.75" right="0.75" top="1" bottom="1" header="0.5" footer="0.5"/>
  <pageSetup paperSize="9" scale="8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10" zoomScaleNormal="100" workbookViewId="0">
      <selection activeCell="O26" sqref="O26"/>
    </sheetView>
  </sheetViews>
  <sheetFormatPr defaultRowHeight="11.25" x14ac:dyDescent="0.2"/>
  <cols>
    <col min="1" max="1" width="5.85546875" style="247" customWidth="1"/>
    <col min="2" max="2" width="54.140625" style="259" customWidth="1"/>
    <col min="3" max="3" width="13.7109375" style="246" customWidth="1"/>
    <col min="4" max="4" width="10" style="247" customWidth="1"/>
    <col min="5" max="5" width="10.28515625" style="247" customWidth="1"/>
    <col min="6" max="6" width="9.140625" style="247"/>
    <col min="7" max="7" width="9.5703125" style="247" customWidth="1"/>
    <col min="8" max="8" width="12.140625" style="247" customWidth="1"/>
    <col min="9" max="9" width="9.5703125" style="247" customWidth="1"/>
    <col min="10" max="256" width="9.140625" style="247"/>
    <col min="257" max="257" width="5.85546875" style="247" customWidth="1"/>
    <col min="258" max="258" width="54.140625" style="247" customWidth="1"/>
    <col min="259" max="259" width="13.7109375" style="247" customWidth="1"/>
    <col min="260" max="260" width="10" style="247" customWidth="1"/>
    <col min="261" max="261" width="10.28515625" style="247" customWidth="1"/>
    <col min="262" max="264" width="9.140625" style="247"/>
    <col min="265" max="265" width="9.140625" style="247" customWidth="1"/>
    <col min="266" max="512" width="9.140625" style="247"/>
    <col min="513" max="513" width="5.85546875" style="247" customWidth="1"/>
    <col min="514" max="514" width="54.140625" style="247" customWidth="1"/>
    <col min="515" max="515" width="13.7109375" style="247" customWidth="1"/>
    <col min="516" max="516" width="10" style="247" customWidth="1"/>
    <col min="517" max="517" width="10.28515625" style="247" customWidth="1"/>
    <col min="518" max="520" width="9.140625" style="247"/>
    <col min="521" max="521" width="9.140625" style="247" customWidth="1"/>
    <col min="522" max="768" width="9.140625" style="247"/>
    <col min="769" max="769" width="5.85546875" style="247" customWidth="1"/>
    <col min="770" max="770" width="54.140625" style="247" customWidth="1"/>
    <col min="771" max="771" width="13.7109375" style="247" customWidth="1"/>
    <col min="772" max="772" width="10" style="247" customWidth="1"/>
    <col min="773" max="773" width="10.28515625" style="247" customWidth="1"/>
    <col min="774" max="776" width="9.140625" style="247"/>
    <col min="777" max="777" width="9.140625" style="247" customWidth="1"/>
    <col min="778" max="1024" width="9.140625" style="247"/>
    <col min="1025" max="1025" width="5.85546875" style="247" customWidth="1"/>
    <col min="1026" max="1026" width="54.140625" style="247" customWidth="1"/>
    <col min="1027" max="1027" width="13.7109375" style="247" customWidth="1"/>
    <col min="1028" max="1028" width="10" style="247" customWidth="1"/>
    <col min="1029" max="1029" width="10.28515625" style="247" customWidth="1"/>
    <col min="1030" max="1032" width="9.140625" style="247"/>
    <col min="1033" max="1033" width="9.140625" style="247" customWidth="1"/>
    <col min="1034" max="1280" width="9.140625" style="247"/>
    <col min="1281" max="1281" width="5.85546875" style="247" customWidth="1"/>
    <col min="1282" max="1282" width="54.140625" style="247" customWidth="1"/>
    <col min="1283" max="1283" width="13.7109375" style="247" customWidth="1"/>
    <col min="1284" max="1284" width="10" style="247" customWidth="1"/>
    <col min="1285" max="1285" width="10.28515625" style="247" customWidth="1"/>
    <col min="1286" max="1288" width="9.140625" style="247"/>
    <col min="1289" max="1289" width="9.140625" style="247" customWidth="1"/>
    <col min="1290" max="1536" width="9.140625" style="247"/>
    <col min="1537" max="1537" width="5.85546875" style="247" customWidth="1"/>
    <col min="1538" max="1538" width="54.140625" style="247" customWidth="1"/>
    <col min="1539" max="1539" width="13.7109375" style="247" customWidth="1"/>
    <col min="1540" max="1540" width="10" style="247" customWidth="1"/>
    <col min="1541" max="1541" width="10.28515625" style="247" customWidth="1"/>
    <col min="1542" max="1544" width="9.140625" style="247"/>
    <col min="1545" max="1545" width="9.140625" style="247" customWidth="1"/>
    <col min="1546" max="1792" width="9.140625" style="247"/>
    <col min="1793" max="1793" width="5.85546875" style="247" customWidth="1"/>
    <col min="1794" max="1794" width="54.140625" style="247" customWidth="1"/>
    <col min="1795" max="1795" width="13.7109375" style="247" customWidth="1"/>
    <col min="1796" max="1796" width="10" style="247" customWidth="1"/>
    <col min="1797" max="1797" width="10.28515625" style="247" customWidth="1"/>
    <col min="1798" max="1800" width="9.140625" style="247"/>
    <col min="1801" max="1801" width="9.140625" style="247" customWidth="1"/>
    <col min="1802" max="2048" width="9.140625" style="247"/>
    <col min="2049" max="2049" width="5.85546875" style="247" customWidth="1"/>
    <col min="2050" max="2050" width="54.140625" style="247" customWidth="1"/>
    <col min="2051" max="2051" width="13.7109375" style="247" customWidth="1"/>
    <col min="2052" max="2052" width="10" style="247" customWidth="1"/>
    <col min="2053" max="2053" width="10.28515625" style="247" customWidth="1"/>
    <col min="2054" max="2056" width="9.140625" style="247"/>
    <col min="2057" max="2057" width="9.140625" style="247" customWidth="1"/>
    <col min="2058" max="2304" width="9.140625" style="247"/>
    <col min="2305" max="2305" width="5.85546875" style="247" customWidth="1"/>
    <col min="2306" max="2306" width="54.140625" style="247" customWidth="1"/>
    <col min="2307" max="2307" width="13.7109375" style="247" customWidth="1"/>
    <col min="2308" max="2308" width="10" style="247" customWidth="1"/>
    <col min="2309" max="2309" width="10.28515625" style="247" customWidth="1"/>
    <col min="2310" max="2312" width="9.140625" style="247"/>
    <col min="2313" max="2313" width="9.140625" style="247" customWidth="1"/>
    <col min="2314" max="2560" width="9.140625" style="247"/>
    <col min="2561" max="2561" width="5.85546875" style="247" customWidth="1"/>
    <col min="2562" max="2562" width="54.140625" style="247" customWidth="1"/>
    <col min="2563" max="2563" width="13.7109375" style="247" customWidth="1"/>
    <col min="2564" max="2564" width="10" style="247" customWidth="1"/>
    <col min="2565" max="2565" width="10.28515625" style="247" customWidth="1"/>
    <col min="2566" max="2568" width="9.140625" style="247"/>
    <col min="2569" max="2569" width="9.140625" style="247" customWidth="1"/>
    <col min="2570" max="2816" width="9.140625" style="247"/>
    <col min="2817" max="2817" width="5.85546875" style="247" customWidth="1"/>
    <col min="2818" max="2818" width="54.140625" style="247" customWidth="1"/>
    <col min="2819" max="2819" width="13.7109375" style="247" customWidth="1"/>
    <col min="2820" max="2820" width="10" style="247" customWidth="1"/>
    <col min="2821" max="2821" width="10.28515625" style="247" customWidth="1"/>
    <col min="2822" max="2824" width="9.140625" style="247"/>
    <col min="2825" max="2825" width="9.140625" style="247" customWidth="1"/>
    <col min="2826" max="3072" width="9.140625" style="247"/>
    <col min="3073" max="3073" width="5.85546875" style="247" customWidth="1"/>
    <col min="3074" max="3074" width="54.140625" style="247" customWidth="1"/>
    <col min="3075" max="3075" width="13.7109375" style="247" customWidth="1"/>
    <col min="3076" max="3076" width="10" style="247" customWidth="1"/>
    <col min="3077" max="3077" width="10.28515625" style="247" customWidth="1"/>
    <col min="3078" max="3080" width="9.140625" style="247"/>
    <col min="3081" max="3081" width="9.140625" style="247" customWidth="1"/>
    <col min="3082" max="3328" width="9.140625" style="247"/>
    <col min="3329" max="3329" width="5.85546875" style="247" customWidth="1"/>
    <col min="3330" max="3330" width="54.140625" style="247" customWidth="1"/>
    <col min="3331" max="3331" width="13.7109375" style="247" customWidth="1"/>
    <col min="3332" max="3332" width="10" style="247" customWidth="1"/>
    <col min="3333" max="3333" width="10.28515625" style="247" customWidth="1"/>
    <col min="3334" max="3336" width="9.140625" style="247"/>
    <col min="3337" max="3337" width="9.140625" style="247" customWidth="1"/>
    <col min="3338" max="3584" width="9.140625" style="247"/>
    <col min="3585" max="3585" width="5.85546875" style="247" customWidth="1"/>
    <col min="3586" max="3586" width="54.140625" style="247" customWidth="1"/>
    <col min="3587" max="3587" width="13.7109375" style="247" customWidth="1"/>
    <col min="3588" max="3588" width="10" style="247" customWidth="1"/>
    <col min="3589" max="3589" width="10.28515625" style="247" customWidth="1"/>
    <col min="3590" max="3592" width="9.140625" style="247"/>
    <col min="3593" max="3593" width="9.140625" style="247" customWidth="1"/>
    <col min="3594" max="3840" width="9.140625" style="247"/>
    <col min="3841" max="3841" width="5.85546875" style="247" customWidth="1"/>
    <col min="3842" max="3842" width="54.140625" style="247" customWidth="1"/>
    <col min="3843" max="3843" width="13.7109375" style="247" customWidth="1"/>
    <col min="3844" max="3844" width="10" style="247" customWidth="1"/>
    <col min="3845" max="3845" width="10.28515625" style="247" customWidth="1"/>
    <col min="3846" max="3848" width="9.140625" style="247"/>
    <col min="3849" max="3849" width="9.140625" style="247" customWidth="1"/>
    <col min="3850" max="4096" width="9.140625" style="247"/>
    <col min="4097" max="4097" width="5.85546875" style="247" customWidth="1"/>
    <col min="4098" max="4098" width="54.140625" style="247" customWidth="1"/>
    <col min="4099" max="4099" width="13.7109375" style="247" customWidth="1"/>
    <col min="4100" max="4100" width="10" style="247" customWidth="1"/>
    <col min="4101" max="4101" width="10.28515625" style="247" customWidth="1"/>
    <col min="4102" max="4104" width="9.140625" style="247"/>
    <col min="4105" max="4105" width="9.140625" style="247" customWidth="1"/>
    <col min="4106" max="4352" width="9.140625" style="247"/>
    <col min="4353" max="4353" width="5.85546875" style="247" customWidth="1"/>
    <col min="4354" max="4354" width="54.140625" style="247" customWidth="1"/>
    <col min="4355" max="4355" width="13.7109375" style="247" customWidth="1"/>
    <col min="4356" max="4356" width="10" style="247" customWidth="1"/>
    <col min="4357" max="4357" width="10.28515625" style="247" customWidth="1"/>
    <col min="4358" max="4360" width="9.140625" style="247"/>
    <col min="4361" max="4361" width="9.140625" style="247" customWidth="1"/>
    <col min="4362" max="4608" width="9.140625" style="247"/>
    <col min="4609" max="4609" width="5.85546875" style="247" customWidth="1"/>
    <col min="4610" max="4610" width="54.140625" style="247" customWidth="1"/>
    <col min="4611" max="4611" width="13.7109375" style="247" customWidth="1"/>
    <col min="4612" max="4612" width="10" style="247" customWidth="1"/>
    <col min="4613" max="4613" width="10.28515625" style="247" customWidth="1"/>
    <col min="4614" max="4616" width="9.140625" style="247"/>
    <col min="4617" max="4617" width="9.140625" style="247" customWidth="1"/>
    <col min="4618" max="4864" width="9.140625" style="247"/>
    <col min="4865" max="4865" width="5.85546875" style="247" customWidth="1"/>
    <col min="4866" max="4866" width="54.140625" style="247" customWidth="1"/>
    <col min="4867" max="4867" width="13.7109375" style="247" customWidth="1"/>
    <col min="4868" max="4868" width="10" style="247" customWidth="1"/>
    <col min="4869" max="4869" width="10.28515625" style="247" customWidth="1"/>
    <col min="4870" max="4872" width="9.140625" style="247"/>
    <col min="4873" max="4873" width="9.140625" style="247" customWidth="1"/>
    <col min="4874" max="5120" width="9.140625" style="247"/>
    <col min="5121" max="5121" width="5.85546875" style="247" customWidth="1"/>
    <col min="5122" max="5122" width="54.140625" style="247" customWidth="1"/>
    <col min="5123" max="5123" width="13.7109375" style="247" customWidth="1"/>
    <col min="5124" max="5124" width="10" style="247" customWidth="1"/>
    <col min="5125" max="5125" width="10.28515625" style="247" customWidth="1"/>
    <col min="5126" max="5128" width="9.140625" style="247"/>
    <col min="5129" max="5129" width="9.140625" style="247" customWidth="1"/>
    <col min="5130" max="5376" width="9.140625" style="247"/>
    <col min="5377" max="5377" width="5.85546875" style="247" customWidth="1"/>
    <col min="5378" max="5378" width="54.140625" style="247" customWidth="1"/>
    <col min="5379" max="5379" width="13.7109375" style="247" customWidth="1"/>
    <col min="5380" max="5380" width="10" style="247" customWidth="1"/>
    <col min="5381" max="5381" width="10.28515625" style="247" customWidth="1"/>
    <col min="5382" max="5384" width="9.140625" style="247"/>
    <col min="5385" max="5385" width="9.140625" style="247" customWidth="1"/>
    <col min="5386" max="5632" width="9.140625" style="247"/>
    <col min="5633" max="5633" width="5.85546875" style="247" customWidth="1"/>
    <col min="5634" max="5634" width="54.140625" style="247" customWidth="1"/>
    <col min="5635" max="5635" width="13.7109375" style="247" customWidth="1"/>
    <col min="5636" max="5636" width="10" style="247" customWidth="1"/>
    <col min="5637" max="5637" width="10.28515625" style="247" customWidth="1"/>
    <col min="5638" max="5640" width="9.140625" style="247"/>
    <col min="5641" max="5641" width="9.140625" style="247" customWidth="1"/>
    <col min="5642" max="5888" width="9.140625" style="247"/>
    <col min="5889" max="5889" width="5.85546875" style="247" customWidth="1"/>
    <col min="5890" max="5890" width="54.140625" style="247" customWidth="1"/>
    <col min="5891" max="5891" width="13.7109375" style="247" customWidth="1"/>
    <col min="5892" max="5892" width="10" style="247" customWidth="1"/>
    <col min="5893" max="5893" width="10.28515625" style="247" customWidth="1"/>
    <col min="5894" max="5896" width="9.140625" style="247"/>
    <col min="5897" max="5897" width="9.140625" style="247" customWidth="1"/>
    <col min="5898" max="6144" width="9.140625" style="247"/>
    <col min="6145" max="6145" width="5.85546875" style="247" customWidth="1"/>
    <col min="6146" max="6146" width="54.140625" style="247" customWidth="1"/>
    <col min="6147" max="6147" width="13.7109375" style="247" customWidth="1"/>
    <col min="6148" max="6148" width="10" style="247" customWidth="1"/>
    <col min="6149" max="6149" width="10.28515625" style="247" customWidth="1"/>
    <col min="6150" max="6152" width="9.140625" style="247"/>
    <col min="6153" max="6153" width="9.140625" style="247" customWidth="1"/>
    <col min="6154" max="6400" width="9.140625" style="247"/>
    <col min="6401" max="6401" width="5.85546875" style="247" customWidth="1"/>
    <col min="6402" max="6402" width="54.140625" style="247" customWidth="1"/>
    <col min="6403" max="6403" width="13.7109375" style="247" customWidth="1"/>
    <col min="6404" max="6404" width="10" style="247" customWidth="1"/>
    <col min="6405" max="6405" width="10.28515625" style="247" customWidth="1"/>
    <col min="6406" max="6408" width="9.140625" style="247"/>
    <col min="6409" max="6409" width="9.140625" style="247" customWidth="1"/>
    <col min="6410" max="6656" width="9.140625" style="247"/>
    <col min="6657" max="6657" width="5.85546875" style="247" customWidth="1"/>
    <col min="6658" max="6658" width="54.140625" style="247" customWidth="1"/>
    <col min="6659" max="6659" width="13.7109375" style="247" customWidth="1"/>
    <col min="6660" max="6660" width="10" style="247" customWidth="1"/>
    <col min="6661" max="6661" width="10.28515625" style="247" customWidth="1"/>
    <col min="6662" max="6664" width="9.140625" style="247"/>
    <col min="6665" max="6665" width="9.140625" style="247" customWidth="1"/>
    <col min="6666" max="6912" width="9.140625" style="247"/>
    <col min="6913" max="6913" width="5.85546875" style="247" customWidth="1"/>
    <col min="6914" max="6914" width="54.140625" style="247" customWidth="1"/>
    <col min="6915" max="6915" width="13.7109375" style="247" customWidth="1"/>
    <col min="6916" max="6916" width="10" style="247" customWidth="1"/>
    <col min="6917" max="6917" width="10.28515625" style="247" customWidth="1"/>
    <col min="6918" max="6920" width="9.140625" style="247"/>
    <col min="6921" max="6921" width="9.140625" style="247" customWidth="1"/>
    <col min="6922" max="7168" width="9.140625" style="247"/>
    <col min="7169" max="7169" width="5.85546875" style="247" customWidth="1"/>
    <col min="7170" max="7170" width="54.140625" style="247" customWidth="1"/>
    <col min="7171" max="7171" width="13.7109375" style="247" customWidth="1"/>
    <col min="7172" max="7172" width="10" style="247" customWidth="1"/>
    <col min="7173" max="7173" width="10.28515625" style="247" customWidth="1"/>
    <col min="7174" max="7176" width="9.140625" style="247"/>
    <col min="7177" max="7177" width="9.140625" style="247" customWidth="1"/>
    <col min="7178" max="7424" width="9.140625" style="247"/>
    <col min="7425" max="7425" width="5.85546875" style="247" customWidth="1"/>
    <col min="7426" max="7426" width="54.140625" style="247" customWidth="1"/>
    <col min="7427" max="7427" width="13.7109375" style="247" customWidth="1"/>
    <col min="7428" max="7428" width="10" style="247" customWidth="1"/>
    <col min="7429" max="7429" width="10.28515625" style="247" customWidth="1"/>
    <col min="7430" max="7432" width="9.140625" style="247"/>
    <col min="7433" max="7433" width="9.140625" style="247" customWidth="1"/>
    <col min="7434" max="7680" width="9.140625" style="247"/>
    <col min="7681" max="7681" width="5.85546875" style="247" customWidth="1"/>
    <col min="7682" max="7682" width="54.140625" style="247" customWidth="1"/>
    <col min="7683" max="7683" width="13.7109375" style="247" customWidth="1"/>
    <col min="7684" max="7684" width="10" style="247" customWidth="1"/>
    <col min="7685" max="7685" width="10.28515625" style="247" customWidth="1"/>
    <col min="7686" max="7688" width="9.140625" style="247"/>
    <col min="7689" max="7689" width="9.140625" style="247" customWidth="1"/>
    <col min="7690" max="7936" width="9.140625" style="247"/>
    <col min="7937" max="7937" width="5.85546875" style="247" customWidth="1"/>
    <col min="7938" max="7938" width="54.140625" style="247" customWidth="1"/>
    <col min="7939" max="7939" width="13.7109375" style="247" customWidth="1"/>
    <col min="7940" max="7940" width="10" style="247" customWidth="1"/>
    <col min="7941" max="7941" width="10.28515625" style="247" customWidth="1"/>
    <col min="7942" max="7944" width="9.140625" style="247"/>
    <col min="7945" max="7945" width="9.140625" style="247" customWidth="1"/>
    <col min="7946" max="8192" width="9.140625" style="247"/>
    <col min="8193" max="8193" width="5.85546875" style="247" customWidth="1"/>
    <col min="8194" max="8194" width="54.140625" style="247" customWidth="1"/>
    <col min="8195" max="8195" width="13.7109375" style="247" customWidth="1"/>
    <col min="8196" max="8196" width="10" style="247" customWidth="1"/>
    <col min="8197" max="8197" width="10.28515625" style="247" customWidth="1"/>
    <col min="8198" max="8200" width="9.140625" style="247"/>
    <col min="8201" max="8201" width="9.140625" style="247" customWidth="1"/>
    <col min="8202" max="8448" width="9.140625" style="247"/>
    <col min="8449" max="8449" width="5.85546875" style="247" customWidth="1"/>
    <col min="8450" max="8450" width="54.140625" style="247" customWidth="1"/>
    <col min="8451" max="8451" width="13.7109375" style="247" customWidth="1"/>
    <col min="8452" max="8452" width="10" style="247" customWidth="1"/>
    <col min="8453" max="8453" width="10.28515625" style="247" customWidth="1"/>
    <col min="8454" max="8456" width="9.140625" style="247"/>
    <col min="8457" max="8457" width="9.140625" style="247" customWidth="1"/>
    <col min="8458" max="8704" width="9.140625" style="247"/>
    <col min="8705" max="8705" width="5.85546875" style="247" customWidth="1"/>
    <col min="8706" max="8706" width="54.140625" style="247" customWidth="1"/>
    <col min="8707" max="8707" width="13.7109375" style="247" customWidth="1"/>
    <col min="8708" max="8708" width="10" style="247" customWidth="1"/>
    <col min="8709" max="8709" width="10.28515625" style="247" customWidth="1"/>
    <col min="8710" max="8712" width="9.140625" style="247"/>
    <col min="8713" max="8713" width="9.140625" style="247" customWidth="1"/>
    <col min="8714" max="8960" width="9.140625" style="247"/>
    <col min="8961" max="8961" width="5.85546875" style="247" customWidth="1"/>
    <col min="8962" max="8962" width="54.140625" style="247" customWidth="1"/>
    <col min="8963" max="8963" width="13.7109375" style="247" customWidth="1"/>
    <col min="8964" max="8964" width="10" style="247" customWidth="1"/>
    <col min="8965" max="8965" width="10.28515625" style="247" customWidth="1"/>
    <col min="8966" max="8968" width="9.140625" style="247"/>
    <col min="8969" max="8969" width="9.140625" style="247" customWidth="1"/>
    <col min="8970" max="9216" width="9.140625" style="247"/>
    <col min="9217" max="9217" width="5.85546875" style="247" customWidth="1"/>
    <col min="9218" max="9218" width="54.140625" style="247" customWidth="1"/>
    <col min="9219" max="9219" width="13.7109375" style="247" customWidth="1"/>
    <col min="9220" max="9220" width="10" style="247" customWidth="1"/>
    <col min="9221" max="9221" width="10.28515625" style="247" customWidth="1"/>
    <col min="9222" max="9224" width="9.140625" style="247"/>
    <col min="9225" max="9225" width="9.140625" style="247" customWidth="1"/>
    <col min="9226" max="9472" width="9.140625" style="247"/>
    <col min="9473" max="9473" width="5.85546875" style="247" customWidth="1"/>
    <col min="9474" max="9474" width="54.140625" style="247" customWidth="1"/>
    <col min="9475" max="9475" width="13.7109375" style="247" customWidth="1"/>
    <col min="9476" max="9476" width="10" style="247" customWidth="1"/>
    <col min="9477" max="9477" width="10.28515625" style="247" customWidth="1"/>
    <col min="9478" max="9480" width="9.140625" style="247"/>
    <col min="9481" max="9481" width="9.140625" style="247" customWidth="1"/>
    <col min="9482" max="9728" width="9.140625" style="247"/>
    <col min="9729" max="9729" width="5.85546875" style="247" customWidth="1"/>
    <col min="9730" max="9730" width="54.140625" style="247" customWidth="1"/>
    <col min="9731" max="9731" width="13.7109375" style="247" customWidth="1"/>
    <col min="9732" max="9732" width="10" style="247" customWidth="1"/>
    <col min="9733" max="9733" width="10.28515625" style="247" customWidth="1"/>
    <col min="9734" max="9736" width="9.140625" style="247"/>
    <col min="9737" max="9737" width="9.140625" style="247" customWidth="1"/>
    <col min="9738" max="9984" width="9.140625" style="247"/>
    <col min="9985" max="9985" width="5.85546875" style="247" customWidth="1"/>
    <col min="9986" max="9986" width="54.140625" style="247" customWidth="1"/>
    <col min="9987" max="9987" width="13.7109375" style="247" customWidth="1"/>
    <col min="9988" max="9988" width="10" style="247" customWidth="1"/>
    <col min="9989" max="9989" width="10.28515625" style="247" customWidth="1"/>
    <col min="9990" max="9992" width="9.140625" style="247"/>
    <col min="9993" max="9993" width="9.140625" style="247" customWidth="1"/>
    <col min="9994" max="10240" width="9.140625" style="247"/>
    <col min="10241" max="10241" width="5.85546875" style="247" customWidth="1"/>
    <col min="10242" max="10242" width="54.140625" style="247" customWidth="1"/>
    <col min="10243" max="10243" width="13.7109375" style="247" customWidth="1"/>
    <col min="10244" max="10244" width="10" style="247" customWidth="1"/>
    <col min="10245" max="10245" width="10.28515625" style="247" customWidth="1"/>
    <col min="10246" max="10248" width="9.140625" style="247"/>
    <col min="10249" max="10249" width="9.140625" style="247" customWidth="1"/>
    <col min="10250" max="10496" width="9.140625" style="247"/>
    <col min="10497" max="10497" width="5.85546875" style="247" customWidth="1"/>
    <col min="10498" max="10498" width="54.140625" style="247" customWidth="1"/>
    <col min="10499" max="10499" width="13.7109375" style="247" customWidth="1"/>
    <col min="10500" max="10500" width="10" style="247" customWidth="1"/>
    <col min="10501" max="10501" width="10.28515625" style="247" customWidth="1"/>
    <col min="10502" max="10504" width="9.140625" style="247"/>
    <col min="10505" max="10505" width="9.140625" style="247" customWidth="1"/>
    <col min="10506" max="10752" width="9.140625" style="247"/>
    <col min="10753" max="10753" width="5.85546875" style="247" customWidth="1"/>
    <col min="10754" max="10754" width="54.140625" style="247" customWidth="1"/>
    <col min="10755" max="10755" width="13.7109375" style="247" customWidth="1"/>
    <col min="10756" max="10756" width="10" style="247" customWidth="1"/>
    <col min="10757" max="10757" width="10.28515625" style="247" customWidth="1"/>
    <col min="10758" max="10760" width="9.140625" style="247"/>
    <col min="10761" max="10761" width="9.140625" style="247" customWidth="1"/>
    <col min="10762" max="11008" width="9.140625" style="247"/>
    <col min="11009" max="11009" width="5.85546875" style="247" customWidth="1"/>
    <col min="11010" max="11010" width="54.140625" style="247" customWidth="1"/>
    <col min="11011" max="11011" width="13.7109375" style="247" customWidth="1"/>
    <col min="11012" max="11012" width="10" style="247" customWidth="1"/>
    <col min="11013" max="11013" width="10.28515625" style="247" customWidth="1"/>
    <col min="11014" max="11016" width="9.140625" style="247"/>
    <col min="11017" max="11017" width="9.140625" style="247" customWidth="1"/>
    <col min="11018" max="11264" width="9.140625" style="247"/>
    <col min="11265" max="11265" width="5.85546875" style="247" customWidth="1"/>
    <col min="11266" max="11266" width="54.140625" style="247" customWidth="1"/>
    <col min="11267" max="11267" width="13.7109375" style="247" customWidth="1"/>
    <col min="11268" max="11268" width="10" style="247" customWidth="1"/>
    <col min="11269" max="11269" width="10.28515625" style="247" customWidth="1"/>
    <col min="11270" max="11272" width="9.140625" style="247"/>
    <col min="11273" max="11273" width="9.140625" style="247" customWidth="1"/>
    <col min="11274" max="11520" width="9.140625" style="247"/>
    <col min="11521" max="11521" width="5.85546875" style="247" customWidth="1"/>
    <col min="11522" max="11522" width="54.140625" style="247" customWidth="1"/>
    <col min="11523" max="11523" width="13.7109375" style="247" customWidth="1"/>
    <col min="11524" max="11524" width="10" style="247" customWidth="1"/>
    <col min="11525" max="11525" width="10.28515625" style="247" customWidth="1"/>
    <col min="11526" max="11528" width="9.140625" style="247"/>
    <col min="11529" max="11529" width="9.140625" style="247" customWidth="1"/>
    <col min="11530" max="11776" width="9.140625" style="247"/>
    <col min="11777" max="11777" width="5.85546875" style="247" customWidth="1"/>
    <col min="11778" max="11778" width="54.140625" style="247" customWidth="1"/>
    <col min="11779" max="11779" width="13.7109375" style="247" customWidth="1"/>
    <col min="11780" max="11780" width="10" style="247" customWidth="1"/>
    <col min="11781" max="11781" width="10.28515625" style="247" customWidth="1"/>
    <col min="11782" max="11784" width="9.140625" style="247"/>
    <col min="11785" max="11785" width="9.140625" style="247" customWidth="1"/>
    <col min="11786" max="12032" width="9.140625" style="247"/>
    <col min="12033" max="12033" width="5.85546875" style="247" customWidth="1"/>
    <col min="12034" max="12034" width="54.140625" style="247" customWidth="1"/>
    <col min="12035" max="12035" width="13.7109375" style="247" customWidth="1"/>
    <col min="12036" max="12036" width="10" style="247" customWidth="1"/>
    <col min="12037" max="12037" width="10.28515625" style="247" customWidth="1"/>
    <col min="12038" max="12040" width="9.140625" style="247"/>
    <col min="12041" max="12041" width="9.140625" style="247" customWidth="1"/>
    <col min="12042" max="12288" width="9.140625" style="247"/>
    <col min="12289" max="12289" width="5.85546875" style="247" customWidth="1"/>
    <col min="12290" max="12290" width="54.140625" style="247" customWidth="1"/>
    <col min="12291" max="12291" width="13.7109375" style="247" customWidth="1"/>
    <col min="12292" max="12292" width="10" style="247" customWidth="1"/>
    <col min="12293" max="12293" width="10.28515625" style="247" customWidth="1"/>
    <col min="12294" max="12296" width="9.140625" style="247"/>
    <col min="12297" max="12297" width="9.140625" style="247" customWidth="1"/>
    <col min="12298" max="12544" width="9.140625" style="247"/>
    <col min="12545" max="12545" width="5.85546875" style="247" customWidth="1"/>
    <col min="12546" max="12546" width="54.140625" style="247" customWidth="1"/>
    <col min="12547" max="12547" width="13.7109375" style="247" customWidth="1"/>
    <col min="12548" max="12548" width="10" style="247" customWidth="1"/>
    <col min="12549" max="12549" width="10.28515625" style="247" customWidth="1"/>
    <col min="12550" max="12552" width="9.140625" style="247"/>
    <col min="12553" max="12553" width="9.140625" style="247" customWidth="1"/>
    <col min="12554" max="12800" width="9.140625" style="247"/>
    <col min="12801" max="12801" width="5.85546875" style="247" customWidth="1"/>
    <col min="12802" max="12802" width="54.140625" style="247" customWidth="1"/>
    <col min="12803" max="12803" width="13.7109375" style="247" customWidth="1"/>
    <col min="12804" max="12804" width="10" style="247" customWidth="1"/>
    <col min="12805" max="12805" width="10.28515625" style="247" customWidth="1"/>
    <col min="12806" max="12808" width="9.140625" style="247"/>
    <col min="12809" max="12809" width="9.140625" style="247" customWidth="1"/>
    <col min="12810" max="13056" width="9.140625" style="247"/>
    <col min="13057" max="13057" width="5.85546875" style="247" customWidth="1"/>
    <col min="13058" max="13058" width="54.140625" style="247" customWidth="1"/>
    <col min="13059" max="13059" width="13.7109375" style="247" customWidth="1"/>
    <col min="13060" max="13060" width="10" style="247" customWidth="1"/>
    <col min="13061" max="13061" width="10.28515625" style="247" customWidth="1"/>
    <col min="13062" max="13064" width="9.140625" style="247"/>
    <col min="13065" max="13065" width="9.140625" style="247" customWidth="1"/>
    <col min="13066" max="13312" width="9.140625" style="247"/>
    <col min="13313" max="13313" width="5.85546875" style="247" customWidth="1"/>
    <col min="13314" max="13314" width="54.140625" style="247" customWidth="1"/>
    <col min="13315" max="13315" width="13.7109375" style="247" customWidth="1"/>
    <col min="13316" max="13316" width="10" style="247" customWidth="1"/>
    <col min="13317" max="13317" width="10.28515625" style="247" customWidth="1"/>
    <col min="13318" max="13320" width="9.140625" style="247"/>
    <col min="13321" max="13321" width="9.140625" style="247" customWidth="1"/>
    <col min="13322" max="13568" width="9.140625" style="247"/>
    <col min="13569" max="13569" width="5.85546875" style="247" customWidth="1"/>
    <col min="13570" max="13570" width="54.140625" style="247" customWidth="1"/>
    <col min="13571" max="13571" width="13.7109375" style="247" customWidth="1"/>
    <col min="13572" max="13572" width="10" style="247" customWidth="1"/>
    <col min="13573" max="13573" width="10.28515625" style="247" customWidth="1"/>
    <col min="13574" max="13576" width="9.140625" style="247"/>
    <col min="13577" max="13577" width="9.140625" style="247" customWidth="1"/>
    <col min="13578" max="13824" width="9.140625" style="247"/>
    <col min="13825" max="13825" width="5.85546875" style="247" customWidth="1"/>
    <col min="13826" max="13826" width="54.140625" style="247" customWidth="1"/>
    <col min="13827" max="13827" width="13.7109375" style="247" customWidth="1"/>
    <col min="13828" max="13828" width="10" style="247" customWidth="1"/>
    <col min="13829" max="13829" width="10.28515625" style="247" customWidth="1"/>
    <col min="13830" max="13832" width="9.140625" style="247"/>
    <col min="13833" max="13833" width="9.140625" style="247" customWidth="1"/>
    <col min="13834" max="14080" width="9.140625" style="247"/>
    <col min="14081" max="14081" width="5.85546875" style="247" customWidth="1"/>
    <col min="14082" max="14082" width="54.140625" style="247" customWidth="1"/>
    <col min="14083" max="14083" width="13.7109375" style="247" customWidth="1"/>
    <col min="14084" max="14084" width="10" style="247" customWidth="1"/>
    <col min="14085" max="14085" width="10.28515625" style="247" customWidth="1"/>
    <col min="14086" max="14088" width="9.140625" style="247"/>
    <col min="14089" max="14089" width="9.140625" style="247" customWidth="1"/>
    <col min="14090" max="14336" width="9.140625" style="247"/>
    <col min="14337" max="14337" width="5.85546875" style="247" customWidth="1"/>
    <col min="14338" max="14338" width="54.140625" style="247" customWidth="1"/>
    <col min="14339" max="14339" width="13.7109375" style="247" customWidth="1"/>
    <col min="14340" max="14340" width="10" style="247" customWidth="1"/>
    <col min="14341" max="14341" width="10.28515625" style="247" customWidth="1"/>
    <col min="14342" max="14344" width="9.140625" style="247"/>
    <col min="14345" max="14345" width="9.140625" style="247" customWidth="1"/>
    <col min="14346" max="14592" width="9.140625" style="247"/>
    <col min="14593" max="14593" width="5.85546875" style="247" customWidth="1"/>
    <col min="14594" max="14594" width="54.140625" style="247" customWidth="1"/>
    <col min="14595" max="14595" width="13.7109375" style="247" customWidth="1"/>
    <col min="14596" max="14596" width="10" style="247" customWidth="1"/>
    <col min="14597" max="14597" width="10.28515625" style="247" customWidth="1"/>
    <col min="14598" max="14600" width="9.140625" style="247"/>
    <col min="14601" max="14601" width="9.140625" style="247" customWidth="1"/>
    <col min="14602" max="14848" width="9.140625" style="247"/>
    <col min="14849" max="14849" width="5.85546875" style="247" customWidth="1"/>
    <col min="14850" max="14850" width="54.140625" style="247" customWidth="1"/>
    <col min="14851" max="14851" width="13.7109375" style="247" customWidth="1"/>
    <col min="14852" max="14852" width="10" style="247" customWidth="1"/>
    <col min="14853" max="14853" width="10.28515625" style="247" customWidth="1"/>
    <col min="14854" max="14856" width="9.140625" style="247"/>
    <col min="14857" max="14857" width="9.140625" style="247" customWidth="1"/>
    <col min="14858" max="15104" width="9.140625" style="247"/>
    <col min="15105" max="15105" width="5.85546875" style="247" customWidth="1"/>
    <col min="15106" max="15106" width="54.140625" style="247" customWidth="1"/>
    <col min="15107" max="15107" width="13.7109375" style="247" customWidth="1"/>
    <col min="15108" max="15108" width="10" style="247" customWidth="1"/>
    <col min="15109" max="15109" width="10.28515625" style="247" customWidth="1"/>
    <col min="15110" max="15112" width="9.140625" style="247"/>
    <col min="15113" max="15113" width="9.140625" style="247" customWidth="1"/>
    <col min="15114" max="15360" width="9.140625" style="247"/>
    <col min="15361" max="15361" width="5.85546875" style="247" customWidth="1"/>
    <col min="15362" max="15362" width="54.140625" style="247" customWidth="1"/>
    <col min="15363" max="15363" width="13.7109375" style="247" customWidth="1"/>
    <col min="15364" max="15364" width="10" style="247" customWidth="1"/>
    <col min="15365" max="15365" width="10.28515625" style="247" customWidth="1"/>
    <col min="15366" max="15368" width="9.140625" style="247"/>
    <col min="15369" max="15369" width="9.140625" style="247" customWidth="1"/>
    <col min="15370" max="15616" width="9.140625" style="247"/>
    <col min="15617" max="15617" width="5.85546875" style="247" customWidth="1"/>
    <col min="15618" max="15618" width="54.140625" style="247" customWidth="1"/>
    <col min="15619" max="15619" width="13.7109375" style="247" customWidth="1"/>
    <col min="15620" max="15620" width="10" style="247" customWidth="1"/>
    <col min="15621" max="15621" width="10.28515625" style="247" customWidth="1"/>
    <col min="15622" max="15624" width="9.140625" style="247"/>
    <col min="15625" max="15625" width="9.140625" style="247" customWidth="1"/>
    <col min="15626" max="15872" width="9.140625" style="247"/>
    <col min="15873" max="15873" width="5.85546875" style="247" customWidth="1"/>
    <col min="15874" max="15874" width="54.140625" style="247" customWidth="1"/>
    <col min="15875" max="15875" width="13.7109375" style="247" customWidth="1"/>
    <col min="15876" max="15876" width="10" style="247" customWidth="1"/>
    <col min="15877" max="15877" width="10.28515625" style="247" customWidth="1"/>
    <col min="15878" max="15880" width="9.140625" style="247"/>
    <col min="15881" max="15881" width="9.140625" style="247" customWidth="1"/>
    <col min="15882" max="16128" width="9.140625" style="247"/>
    <col min="16129" max="16129" width="5.85546875" style="247" customWidth="1"/>
    <col min="16130" max="16130" width="54.140625" style="247" customWidth="1"/>
    <col min="16131" max="16131" width="13.7109375" style="247" customWidth="1"/>
    <col min="16132" max="16132" width="10" style="247" customWidth="1"/>
    <col min="16133" max="16133" width="10.28515625" style="247" customWidth="1"/>
    <col min="16134" max="16136" width="9.140625" style="247"/>
    <col min="16137" max="16137" width="9.140625" style="247" customWidth="1"/>
    <col min="16138" max="16384" width="9.140625" style="247"/>
  </cols>
  <sheetData>
    <row r="1" spans="1:9" ht="12.75" x14ac:dyDescent="0.2">
      <c r="B1" s="922" t="s">
        <v>572</v>
      </c>
    </row>
    <row r="2" spans="1:9" s="241" customFormat="1" ht="33.75" customHeight="1" thickBot="1" x14ac:dyDescent="0.35">
      <c r="A2" s="1032" t="s">
        <v>458</v>
      </c>
      <c r="B2" s="1032"/>
      <c r="C2" s="1032"/>
    </row>
    <row r="3" spans="1:9" s="242" customFormat="1" ht="52.5" customHeight="1" thickBot="1" x14ac:dyDescent="0.35">
      <c r="A3" s="284" t="s">
        <v>159</v>
      </c>
      <c r="B3" s="285" t="s">
        <v>160</v>
      </c>
      <c r="C3" s="286" t="s">
        <v>459</v>
      </c>
      <c r="D3" s="454"/>
      <c r="E3" s="306"/>
      <c r="F3" s="307"/>
      <c r="G3" s="546"/>
      <c r="H3" s="542"/>
      <c r="I3" s="546"/>
    </row>
    <row r="4" spans="1:9" s="244" customFormat="1" ht="16.5" thickTop="1" x14ac:dyDescent="0.25">
      <c r="A4" s="243">
        <v>1</v>
      </c>
      <c r="B4" s="287" t="s">
        <v>166</v>
      </c>
      <c r="C4" s="23">
        <v>71833</v>
      </c>
      <c r="D4" s="277"/>
      <c r="E4" s="308"/>
      <c r="F4" s="307"/>
      <c r="G4" s="545"/>
      <c r="H4" s="491"/>
      <c r="I4" s="545"/>
    </row>
    <row r="5" spans="1:9" s="244" customFormat="1" ht="15.75" x14ac:dyDescent="0.25">
      <c r="A5" s="243">
        <v>2</v>
      </c>
      <c r="B5" s="287" t="s">
        <v>167</v>
      </c>
      <c r="C5" s="23">
        <v>61881</v>
      </c>
      <c r="D5" s="278"/>
      <c r="E5" s="308"/>
      <c r="F5" s="307"/>
      <c r="G5" s="545"/>
      <c r="H5" s="491"/>
      <c r="I5" s="545"/>
    </row>
    <row r="6" spans="1:9" s="244" customFormat="1" ht="15.75" x14ac:dyDescent="0.25">
      <c r="A6" s="243">
        <v>3</v>
      </c>
      <c r="B6" s="287" t="s">
        <v>168</v>
      </c>
      <c r="C6" s="23">
        <v>22987</v>
      </c>
      <c r="D6" s="278"/>
      <c r="E6" s="308"/>
      <c r="F6" s="307"/>
      <c r="G6" s="545"/>
      <c r="H6" s="491"/>
      <c r="I6" s="545"/>
    </row>
    <row r="7" spans="1:9" s="244" customFormat="1" ht="15.75" x14ac:dyDescent="0.25">
      <c r="A7" s="243">
        <v>4</v>
      </c>
      <c r="B7" s="287" t="s">
        <v>169</v>
      </c>
      <c r="C7" s="23">
        <v>21560</v>
      </c>
      <c r="D7" s="278"/>
      <c r="E7" s="308"/>
      <c r="F7" s="307"/>
      <c r="G7" s="545"/>
      <c r="H7" s="491"/>
      <c r="I7" s="545"/>
    </row>
    <row r="8" spans="1:9" s="244" customFormat="1" ht="15.75" x14ac:dyDescent="0.25">
      <c r="A8" s="243">
        <v>5</v>
      </c>
      <c r="B8" s="290" t="s">
        <v>170</v>
      </c>
      <c r="C8" s="288">
        <v>46135</v>
      </c>
      <c r="D8" s="278"/>
      <c r="E8" s="308"/>
      <c r="F8" s="307"/>
      <c r="G8" s="545"/>
      <c r="H8" s="491"/>
      <c r="I8" s="545"/>
    </row>
    <row r="9" spans="1:9" s="244" customFormat="1" ht="15.75" x14ac:dyDescent="0.25">
      <c r="A9" s="243">
        <v>6</v>
      </c>
      <c r="B9" s="287" t="s">
        <v>47</v>
      </c>
      <c r="C9" s="23">
        <v>18068</v>
      </c>
      <c r="D9" s="278"/>
      <c r="E9" s="308"/>
      <c r="F9" s="307"/>
      <c r="G9" s="545"/>
      <c r="H9" s="491"/>
      <c r="I9" s="545"/>
    </row>
    <row r="10" spans="1:9" s="244" customFormat="1" ht="15.75" x14ac:dyDescent="0.25">
      <c r="A10" s="243">
        <v>7</v>
      </c>
      <c r="B10" s="287" t="s">
        <v>108</v>
      </c>
      <c r="C10" s="23">
        <v>39131</v>
      </c>
      <c r="D10" s="278"/>
      <c r="E10" s="308"/>
      <c r="F10" s="307"/>
      <c r="G10" s="545"/>
      <c r="H10" s="491"/>
      <c r="I10" s="545"/>
    </row>
    <row r="11" spans="1:9" s="244" customFormat="1" ht="15.75" x14ac:dyDescent="0.25">
      <c r="A11" s="243">
        <v>8</v>
      </c>
      <c r="B11" s="287" t="s">
        <v>171</v>
      </c>
      <c r="C11" s="23">
        <v>25220</v>
      </c>
      <c r="D11" s="278"/>
      <c r="E11" s="308"/>
      <c r="F11" s="307"/>
      <c r="G11" s="545"/>
      <c r="H11" s="491"/>
      <c r="I11" s="545"/>
    </row>
    <row r="12" spans="1:9" s="244" customFormat="1" ht="31.5" x14ac:dyDescent="0.25">
      <c r="A12" s="243">
        <v>9</v>
      </c>
      <c r="B12" s="287" t="s">
        <v>172</v>
      </c>
      <c r="C12" s="23">
        <v>32500</v>
      </c>
      <c r="D12" s="278"/>
      <c r="E12" s="308"/>
      <c r="F12" s="307"/>
      <c r="G12" s="545"/>
      <c r="H12" s="491"/>
      <c r="I12" s="545"/>
    </row>
    <row r="13" spans="1:9" s="244" customFormat="1" ht="15.75" x14ac:dyDescent="0.25">
      <c r="A13" s="243">
        <v>10</v>
      </c>
      <c r="B13" s="290" t="s">
        <v>42</v>
      </c>
      <c r="C13" s="23">
        <v>23304</v>
      </c>
      <c r="D13" s="278"/>
      <c r="E13" s="308"/>
      <c r="F13" s="307"/>
      <c r="G13" s="545"/>
      <c r="H13" s="491"/>
      <c r="I13" s="545"/>
    </row>
    <row r="14" spans="1:9" s="244" customFormat="1" ht="15.75" x14ac:dyDescent="0.25">
      <c r="A14" s="243">
        <v>11</v>
      </c>
      <c r="B14" s="287" t="s">
        <v>174</v>
      </c>
      <c r="C14" s="23">
        <v>14471</v>
      </c>
      <c r="D14" s="278"/>
      <c r="E14" s="308"/>
      <c r="F14" s="307"/>
      <c r="G14" s="545"/>
      <c r="H14" s="491"/>
      <c r="I14" s="545"/>
    </row>
    <row r="15" spans="1:9" s="244" customFormat="1" ht="15.75" x14ac:dyDescent="0.25">
      <c r="A15" s="243">
        <v>12</v>
      </c>
      <c r="B15" s="289" t="s">
        <v>177</v>
      </c>
      <c r="C15" s="291">
        <v>58463</v>
      </c>
      <c r="D15" s="278"/>
      <c r="E15" s="308"/>
      <c r="F15" s="307"/>
      <c r="G15" s="545"/>
      <c r="H15" s="539"/>
      <c r="I15" s="545"/>
    </row>
    <row r="16" spans="1:9" s="244" customFormat="1" ht="15.75" x14ac:dyDescent="0.25">
      <c r="A16" s="243">
        <v>13</v>
      </c>
      <c r="B16" s="292" t="s">
        <v>178</v>
      </c>
      <c r="C16" s="291">
        <v>105489</v>
      </c>
      <c r="D16" s="278"/>
      <c r="E16" s="308"/>
      <c r="F16" s="307"/>
      <c r="G16" s="545"/>
      <c r="H16" s="539"/>
      <c r="I16" s="545"/>
    </row>
    <row r="17" spans="1:11" s="244" customFormat="1" ht="15.75" x14ac:dyDescent="0.25">
      <c r="A17" s="243">
        <v>14</v>
      </c>
      <c r="B17" s="455" t="s">
        <v>375</v>
      </c>
      <c r="C17" s="291">
        <v>19938</v>
      </c>
      <c r="D17" s="278"/>
      <c r="E17" s="308"/>
      <c r="F17" s="307"/>
      <c r="G17" s="545"/>
      <c r="H17" s="539"/>
      <c r="I17" s="545"/>
    </row>
    <row r="18" spans="1:11" s="244" customFormat="1" ht="31.5" x14ac:dyDescent="0.25">
      <c r="A18" s="243">
        <v>15</v>
      </c>
      <c r="B18" s="544" t="s">
        <v>457</v>
      </c>
      <c r="C18" s="457">
        <v>14800</v>
      </c>
      <c r="D18" s="278"/>
      <c r="E18" s="308"/>
      <c r="F18" s="307"/>
      <c r="H18" s="539"/>
    </row>
    <row r="19" spans="1:11" s="244" customFormat="1" ht="15.75" x14ac:dyDescent="0.25">
      <c r="A19" s="243">
        <v>16</v>
      </c>
      <c r="B19" s="456" t="s">
        <v>433</v>
      </c>
      <c r="C19" s="457">
        <v>1772</v>
      </c>
      <c r="D19" s="278"/>
      <c r="E19" s="308"/>
      <c r="F19" s="307"/>
      <c r="H19" s="539"/>
    </row>
    <row r="20" spans="1:11" s="244" customFormat="1" ht="16.5" thickBot="1" x14ac:dyDescent="0.3">
      <c r="A20" s="243">
        <v>17</v>
      </c>
      <c r="B20" s="456" t="s">
        <v>595</v>
      </c>
      <c r="C20" s="326">
        <v>1200</v>
      </c>
      <c r="D20" s="278"/>
      <c r="E20" s="308"/>
      <c r="F20" s="307"/>
      <c r="H20" s="539"/>
    </row>
    <row r="21" spans="1:11" s="244" customFormat="1" ht="16.5" thickBot="1" x14ac:dyDescent="0.3">
      <c r="A21" s="323"/>
      <c r="B21" s="324" t="s">
        <v>206</v>
      </c>
      <c r="C21" s="325">
        <f>SUM(C4:C20)</f>
        <v>578752</v>
      </c>
      <c r="D21" s="458"/>
      <c r="E21" s="310"/>
      <c r="F21" s="307"/>
      <c r="G21" s="543"/>
      <c r="H21" s="543"/>
      <c r="I21" s="543"/>
    </row>
    <row r="22" spans="1:11" s="244" customFormat="1" ht="15.75" x14ac:dyDescent="0.25">
      <c r="A22" s="245"/>
      <c r="B22" s="311"/>
      <c r="C22" s="312"/>
      <c r="D22" s="246"/>
      <c r="E22" s="313"/>
      <c r="F22" s="313"/>
      <c r="G22" s="313"/>
      <c r="K22" s="314"/>
    </row>
    <row r="23" spans="1:11" s="244" customFormat="1" ht="15.75" x14ac:dyDescent="0.25">
      <c r="A23" s="245"/>
      <c r="B23" s="248"/>
      <c r="C23" s="249"/>
      <c r="D23" s="278"/>
      <c r="E23" s="293"/>
      <c r="F23" s="307"/>
      <c r="G23" s="307"/>
    </row>
    <row r="24" spans="1:11" s="244" customFormat="1" ht="16.5" thickBot="1" x14ac:dyDescent="0.3">
      <c r="A24" s="459" t="s">
        <v>266</v>
      </c>
      <c r="B24" s="460"/>
      <c r="C24" s="250"/>
      <c r="D24" s="273"/>
      <c r="E24" s="273"/>
    </row>
    <row r="25" spans="1:11" s="244" customFormat="1" ht="38.25" thickBot="1" x14ac:dyDescent="0.35">
      <c r="A25" s="284" t="s">
        <v>159</v>
      </c>
      <c r="B25" s="285" t="s">
        <v>160</v>
      </c>
      <c r="C25" s="294" t="s">
        <v>459</v>
      </c>
      <c r="D25" s="25"/>
      <c r="E25" s="306"/>
      <c r="F25" s="307"/>
      <c r="G25" s="546"/>
      <c r="H25" s="542"/>
      <c r="I25" s="546"/>
    </row>
    <row r="26" spans="1:11" s="244" customFormat="1" ht="16.5" thickTop="1" x14ac:dyDescent="0.25">
      <c r="A26" s="54">
        <v>1</v>
      </c>
      <c r="B26" s="289" t="s">
        <v>179</v>
      </c>
      <c r="C26" s="291">
        <v>93645</v>
      </c>
      <c r="D26" s="461"/>
      <c r="E26" s="315"/>
      <c r="F26" s="307"/>
      <c r="G26" s="545"/>
      <c r="H26" s="539"/>
      <c r="I26" s="545"/>
    </row>
    <row r="27" spans="1:11" s="244" customFormat="1" ht="15.75" x14ac:dyDescent="0.25">
      <c r="A27" s="54">
        <v>2</v>
      </c>
      <c r="B27" s="289" t="s">
        <v>180</v>
      </c>
      <c r="C27" s="291">
        <v>43500</v>
      </c>
      <c r="D27" s="461"/>
      <c r="E27" s="315"/>
      <c r="F27" s="307"/>
      <c r="G27" s="545"/>
      <c r="H27" s="539"/>
      <c r="I27" s="545"/>
    </row>
    <row r="28" spans="1:11" ht="31.5" x14ac:dyDescent="0.25">
      <c r="A28" s="54">
        <v>3</v>
      </c>
      <c r="B28" s="289" t="s">
        <v>633</v>
      </c>
      <c r="C28" s="291">
        <v>36200</v>
      </c>
      <c r="D28" s="461"/>
      <c r="E28" s="307"/>
      <c r="F28" s="316"/>
      <c r="G28" s="545"/>
      <c r="H28" s="539"/>
      <c r="I28" s="545"/>
    </row>
    <row r="29" spans="1:11" ht="15.75" x14ac:dyDescent="0.25">
      <c r="A29" s="54">
        <v>4</v>
      </c>
      <c r="B29" s="289" t="s">
        <v>434</v>
      </c>
      <c r="C29" s="291"/>
      <c r="D29" s="461"/>
      <c r="E29" s="307"/>
      <c r="F29" s="316"/>
      <c r="G29" s="545"/>
      <c r="H29" s="539"/>
      <c r="I29" s="545"/>
    </row>
    <row r="30" spans="1:11" s="252" customFormat="1" ht="15.75" x14ac:dyDescent="0.25">
      <c r="A30" s="54">
        <v>5</v>
      </c>
      <c r="B30" s="289" t="s">
        <v>181</v>
      </c>
      <c r="C30" s="291"/>
      <c r="D30" s="461"/>
      <c r="E30" s="307"/>
      <c r="F30" s="317"/>
      <c r="G30" s="545"/>
      <c r="H30" s="539"/>
      <c r="I30" s="545"/>
    </row>
    <row r="31" spans="1:11" ht="19.5" customHeight="1" x14ac:dyDescent="0.25">
      <c r="A31" s="462">
        <v>6</v>
      </c>
      <c r="B31" s="289" t="s">
        <v>182</v>
      </c>
      <c r="C31" s="463">
        <v>84679</v>
      </c>
      <c r="D31" s="464"/>
      <c r="E31" s="307"/>
      <c r="F31" s="316"/>
      <c r="G31" s="545"/>
      <c r="H31" s="540"/>
      <c r="I31" s="545"/>
    </row>
    <row r="32" spans="1:11" ht="19.5" customHeight="1" x14ac:dyDescent="0.25">
      <c r="A32" s="462">
        <v>7</v>
      </c>
      <c r="B32" s="289" t="s">
        <v>267</v>
      </c>
      <c r="C32" s="318">
        <v>847</v>
      </c>
      <c r="D32" s="464"/>
      <c r="E32" s="316"/>
      <c r="F32" s="316"/>
      <c r="G32" s="545"/>
      <c r="H32" s="540"/>
      <c r="I32" s="545"/>
    </row>
    <row r="33" spans="1:10" ht="16.5" thickBot="1" x14ac:dyDescent="0.3">
      <c r="A33" s="444"/>
      <c r="B33" s="445" t="s">
        <v>207</v>
      </c>
      <c r="C33" s="446">
        <f>SUM(C26:C32)</f>
        <v>258871</v>
      </c>
      <c r="D33" s="465"/>
      <c r="E33" s="306"/>
      <c r="F33" s="313"/>
      <c r="G33" s="541"/>
      <c r="H33" s="541"/>
      <c r="I33" s="541"/>
      <c r="J33" s="252"/>
    </row>
    <row r="34" spans="1:10" ht="15.75" x14ac:dyDescent="0.25">
      <c r="A34" s="255"/>
      <c r="B34" s="256"/>
      <c r="C34" s="257"/>
      <c r="D34" s="312"/>
      <c r="E34" s="572"/>
    </row>
    <row r="35" spans="1:10" ht="15.75" x14ac:dyDescent="0.25">
      <c r="A35" s="255"/>
      <c r="B35" s="311"/>
      <c r="C35" s="571"/>
      <c r="D35" s="312"/>
      <c r="G35" s="297"/>
    </row>
    <row r="36" spans="1:10" ht="15.75" x14ac:dyDescent="0.25">
      <c r="A36" s="245"/>
      <c r="B36" s="248"/>
      <c r="C36" s="258"/>
      <c r="D36" s="246"/>
    </row>
    <row r="37" spans="1:10" ht="15.75" x14ac:dyDescent="0.25">
      <c r="A37" s="245"/>
      <c r="B37" s="235" t="s">
        <v>155</v>
      </c>
      <c r="C37" s="16" t="s">
        <v>41</v>
      </c>
      <c r="D37" s="246"/>
    </row>
    <row r="38" spans="1:10" s="254" customFormat="1" x14ac:dyDescent="0.2">
      <c r="A38" s="247"/>
      <c r="B38" s="259"/>
      <c r="C38" s="246"/>
      <c r="D38" s="253"/>
    </row>
    <row r="39" spans="1:10" s="252" customFormat="1" x14ac:dyDescent="0.2">
      <c r="A39" s="247"/>
      <c r="B39" s="259"/>
      <c r="C39" s="246"/>
      <c r="D39" s="251"/>
    </row>
    <row r="40" spans="1:10" s="252" customFormat="1" ht="12.75" hidden="1" customHeight="1" x14ac:dyDescent="0.2">
      <c r="A40" s="247"/>
      <c r="B40" s="259"/>
      <c r="C40" s="246"/>
      <c r="D40" s="251"/>
    </row>
    <row r="41" spans="1:10" s="252" customFormat="1" ht="12.75" customHeight="1" x14ac:dyDescent="0.2">
      <c r="A41" s="247"/>
      <c r="B41" s="259"/>
      <c r="C41" s="246"/>
      <c r="D41" s="251"/>
    </row>
    <row r="42" spans="1:10" x14ac:dyDescent="0.2">
      <c r="D42" s="246"/>
    </row>
    <row r="43" spans="1:10" x14ac:dyDescent="0.2">
      <c r="D43" s="246"/>
    </row>
  </sheetData>
  <mergeCells count="1">
    <mergeCell ref="A2:C2"/>
  </mergeCells>
  <phoneticPr fontId="0" type="noConversion"/>
  <pageMargins left="0.55118110236220474" right="0.55118110236220474" top="0.39370078740157483" bottom="0.59055118110236227" header="0.51181102362204722" footer="0.51181102362204722"/>
  <pageSetup paperSize="9" scale="8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opLeftCell="B1" workbookViewId="0">
      <selection activeCell="F18" sqref="F18"/>
    </sheetView>
  </sheetViews>
  <sheetFormatPr defaultRowHeight="11.25" x14ac:dyDescent="0.2"/>
  <cols>
    <col min="1" max="1" width="5.85546875" style="247" customWidth="1"/>
    <col min="2" max="2" width="54.140625" style="259" customWidth="1"/>
    <col min="3" max="3" width="13.7109375" style="246" customWidth="1"/>
    <col min="4" max="4" width="10" style="246" customWidth="1"/>
    <col min="5" max="5" width="11.42578125" style="247" customWidth="1"/>
    <col min="6" max="6" width="9.140625" style="247"/>
    <col min="7" max="7" width="9.85546875" style="247" customWidth="1"/>
    <col min="8" max="8" width="10.42578125" style="247" customWidth="1"/>
    <col min="9" max="10" width="9.140625" style="247"/>
    <col min="11" max="11" width="30" style="247" customWidth="1"/>
    <col min="12" max="256" width="9.140625" style="247"/>
    <col min="257" max="257" width="5.85546875" style="247" customWidth="1"/>
    <col min="258" max="258" width="54.140625" style="247" customWidth="1"/>
    <col min="259" max="259" width="13.7109375" style="247" customWidth="1"/>
    <col min="260" max="260" width="10" style="247" customWidth="1"/>
    <col min="261" max="261" width="11.42578125" style="247" customWidth="1"/>
    <col min="262" max="512" width="9.140625" style="247"/>
    <col min="513" max="513" width="5.85546875" style="247" customWidth="1"/>
    <col min="514" max="514" width="54.140625" style="247" customWidth="1"/>
    <col min="515" max="515" width="13.7109375" style="247" customWidth="1"/>
    <col min="516" max="516" width="10" style="247" customWidth="1"/>
    <col min="517" max="517" width="11.42578125" style="247" customWidth="1"/>
    <col min="518" max="768" width="9.140625" style="247"/>
    <col min="769" max="769" width="5.85546875" style="247" customWidth="1"/>
    <col min="770" max="770" width="54.140625" style="247" customWidth="1"/>
    <col min="771" max="771" width="13.7109375" style="247" customWidth="1"/>
    <col min="772" max="772" width="10" style="247" customWidth="1"/>
    <col min="773" max="773" width="11.42578125" style="247" customWidth="1"/>
    <col min="774" max="1024" width="9.140625" style="247"/>
    <col min="1025" max="1025" width="5.85546875" style="247" customWidth="1"/>
    <col min="1026" max="1026" width="54.140625" style="247" customWidth="1"/>
    <col min="1027" max="1027" width="13.7109375" style="247" customWidth="1"/>
    <col min="1028" max="1028" width="10" style="247" customWidth="1"/>
    <col min="1029" max="1029" width="11.42578125" style="247" customWidth="1"/>
    <col min="1030" max="1280" width="9.140625" style="247"/>
    <col min="1281" max="1281" width="5.85546875" style="247" customWidth="1"/>
    <col min="1282" max="1282" width="54.140625" style="247" customWidth="1"/>
    <col min="1283" max="1283" width="13.7109375" style="247" customWidth="1"/>
    <col min="1284" max="1284" width="10" style="247" customWidth="1"/>
    <col min="1285" max="1285" width="11.42578125" style="247" customWidth="1"/>
    <col min="1286" max="1536" width="9.140625" style="247"/>
    <col min="1537" max="1537" width="5.85546875" style="247" customWidth="1"/>
    <col min="1538" max="1538" width="54.140625" style="247" customWidth="1"/>
    <col min="1539" max="1539" width="13.7109375" style="247" customWidth="1"/>
    <col min="1540" max="1540" width="10" style="247" customWidth="1"/>
    <col min="1541" max="1541" width="11.42578125" style="247" customWidth="1"/>
    <col min="1542" max="1792" width="9.140625" style="247"/>
    <col min="1793" max="1793" width="5.85546875" style="247" customWidth="1"/>
    <col min="1794" max="1794" width="54.140625" style="247" customWidth="1"/>
    <col min="1795" max="1795" width="13.7109375" style="247" customWidth="1"/>
    <col min="1796" max="1796" width="10" style="247" customWidth="1"/>
    <col min="1797" max="1797" width="11.42578125" style="247" customWidth="1"/>
    <col min="1798" max="2048" width="9.140625" style="247"/>
    <col min="2049" max="2049" width="5.85546875" style="247" customWidth="1"/>
    <col min="2050" max="2050" width="54.140625" style="247" customWidth="1"/>
    <col min="2051" max="2051" width="13.7109375" style="247" customWidth="1"/>
    <col min="2052" max="2052" width="10" style="247" customWidth="1"/>
    <col min="2053" max="2053" width="11.42578125" style="247" customWidth="1"/>
    <col min="2054" max="2304" width="9.140625" style="247"/>
    <col min="2305" max="2305" width="5.85546875" style="247" customWidth="1"/>
    <col min="2306" max="2306" width="54.140625" style="247" customWidth="1"/>
    <col min="2307" max="2307" width="13.7109375" style="247" customWidth="1"/>
    <col min="2308" max="2308" width="10" style="247" customWidth="1"/>
    <col min="2309" max="2309" width="11.42578125" style="247" customWidth="1"/>
    <col min="2310" max="2560" width="9.140625" style="247"/>
    <col min="2561" max="2561" width="5.85546875" style="247" customWidth="1"/>
    <col min="2562" max="2562" width="54.140625" style="247" customWidth="1"/>
    <col min="2563" max="2563" width="13.7109375" style="247" customWidth="1"/>
    <col min="2564" max="2564" width="10" style="247" customWidth="1"/>
    <col min="2565" max="2565" width="11.42578125" style="247" customWidth="1"/>
    <col min="2566" max="2816" width="9.140625" style="247"/>
    <col min="2817" max="2817" width="5.85546875" style="247" customWidth="1"/>
    <col min="2818" max="2818" width="54.140625" style="247" customWidth="1"/>
    <col min="2819" max="2819" width="13.7109375" style="247" customWidth="1"/>
    <col min="2820" max="2820" width="10" style="247" customWidth="1"/>
    <col min="2821" max="2821" width="11.42578125" style="247" customWidth="1"/>
    <col min="2822" max="3072" width="9.140625" style="247"/>
    <col min="3073" max="3073" width="5.85546875" style="247" customWidth="1"/>
    <col min="3074" max="3074" width="54.140625" style="247" customWidth="1"/>
    <col min="3075" max="3075" width="13.7109375" style="247" customWidth="1"/>
    <col min="3076" max="3076" width="10" style="247" customWidth="1"/>
    <col min="3077" max="3077" width="11.42578125" style="247" customWidth="1"/>
    <col min="3078" max="3328" width="9.140625" style="247"/>
    <col min="3329" max="3329" width="5.85546875" style="247" customWidth="1"/>
    <col min="3330" max="3330" width="54.140625" style="247" customWidth="1"/>
    <col min="3331" max="3331" width="13.7109375" style="247" customWidth="1"/>
    <col min="3332" max="3332" width="10" style="247" customWidth="1"/>
    <col min="3333" max="3333" width="11.42578125" style="247" customWidth="1"/>
    <col min="3334" max="3584" width="9.140625" style="247"/>
    <col min="3585" max="3585" width="5.85546875" style="247" customWidth="1"/>
    <col min="3586" max="3586" width="54.140625" style="247" customWidth="1"/>
    <col min="3587" max="3587" width="13.7109375" style="247" customWidth="1"/>
    <col min="3588" max="3588" width="10" style="247" customWidth="1"/>
    <col min="3589" max="3589" width="11.42578125" style="247" customWidth="1"/>
    <col min="3590" max="3840" width="9.140625" style="247"/>
    <col min="3841" max="3841" width="5.85546875" style="247" customWidth="1"/>
    <col min="3842" max="3842" width="54.140625" style="247" customWidth="1"/>
    <col min="3843" max="3843" width="13.7109375" style="247" customWidth="1"/>
    <col min="3844" max="3844" width="10" style="247" customWidth="1"/>
    <col min="3845" max="3845" width="11.42578125" style="247" customWidth="1"/>
    <col min="3846" max="4096" width="9.140625" style="247"/>
    <col min="4097" max="4097" width="5.85546875" style="247" customWidth="1"/>
    <col min="4098" max="4098" width="54.140625" style="247" customWidth="1"/>
    <col min="4099" max="4099" width="13.7109375" style="247" customWidth="1"/>
    <col min="4100" max="4100" width="10" style="247" customWidth="1"/>
    <col min="4101" max="4101" width="11.42578125" style="247" customWidth="1"/>
    <col min="4102" max="4352" width="9.140625" style="247"/>
    <col min="4353" max="4353" width="5.85546875" style="247" customWidth="1"/>
    <col min="4354" max="4354" width="54.140625" style="247" customWidth="1"/>
    <col min="4355" max="4355" width="13.7109375" style="247" customWidth="1"/>
    <col min="4356" max="4356" width="10" style="247" customWidth="1"/>
    <col min="4357" max="4357" width="11.42578125" style="247" customWidth="1"/>
    <col min="4358" max="4608" width="9.140625" style="247"/>
    <col min="4609" max="4609" width="5.85546875" style="247" customWidth="1"/>
    <col min="4610" max="4610" width="54.140625" style="247" customWidth="1"/>
    <col min="4611" max="4611" width="13.7109375" style="247" customWidth="1"/>
    <col min="4612" max="4612" width="10" style="247" customWidth="1"/>
    <col min="4613" max="4613" width="11.42578125" style="247" customWidth="1"/>
    <col min="4614" max="4864" width="9.140625" style="247"/>
    <col min="4865" max="4865" width="5.85546875" style="247" customWidth="1"/>
    <col min="4866" max="4866" width="54.140625" style="247" customWidth="1"/>
    <col min="4867" max="4867" width="13.7109375" style="247" customWidth="1"/>
    <col min="4868" max="4868" width="10" style="247" customWidth="1"/>
    <col min="4869" max="4869" width="11.42578125" style="247" customWidth="1"/>
    <col min="4870" max="5120" width="9.140625" style="247"/>
    <col min="5121" max="5121" width="5.85546875" style="247" customWidth="1"/>
    <col min="5122" max="5122" width="54.140625" style="247" customWidth="1"/>
    <col min="5123" max="5123" width="13.7109375" style="247" customWidth="1"/>
    <col min="5124" max="5124" width="10" style="247" customWidth="1"/>
    <col min="5125" max="5125" width="11.42578125" style="247" customWidth="1"/>
    <col min="5126" max="5376" width="9.140625" style="247"/>
    <col min="5377" max="5377" width="5.85546875" style="247" customWidth="1"/>
    <col min="5378" max="5378" width="54.140625" style="247" customWidth="1"/>
    <col min="5379" max="5379" width="13.7109375" style="247" customWidth="1"/>
    <col min="5380" max="5380" width="10" style="247" customWidth="1"/>
    <col min="5381" max="5381" width="11.42578125" style="247" customWidth="1"/>
    <col min="5382" max="5632" width="9.140625" style="247"/>
    <col min="5633" max="5633" width="5.85546875" style="247" customWidth="1"/>
    <col min="5634" max="5634" width="54.140625" style="247" customWidth="1"/>
    <col min="5635" max="5635" width="13.7109375" style="247" customWidth="1"/>
    <col min="5636" max="5636" width="10" style="247" customWidth="1"/>
    <col min="5637" max="5637" width="11.42578125" style="247" customWidth="1"/>
    <col min="5638" max="5888" width="9.140625" style="247"/>
    <col min="5889" max="5889" width="5.85546875" style="247" customWidth="1"/>
    <col min="5890" max="5890" width="54.140625" style="247" customWidth="1"/>
    <col min="5891" max="5891" width="13.7109375" style="247" customWidth="1"/>
    <col min="5892" max="5892" width="10" style="247" customWidth="1"/>
    <col min="5893" max="5893" width="11.42578125" style="247" customWidth="1"/>
    <col min="5894" max="6144" width="9.140625" style="247"/>
    <col min="6145" max="6145" width="5.85546875" style="247" customWidth="1"/>
    <col min="6146" max="6146" width="54.140625" style="247" customWidth="1"/>
    <col min="6147" max="6147" width="13.7109375" style="247" customWidth="1"/>
    <col min="6148" max="6148" width="10" style="247" customWidth="1"/>
    <col min="6149" max="6149" width="11.42578125" style="247" customWidth="1"/>
    <col min="6150" max="6400" width="9.140625" style="247"/>
    <col min="6401" max="6401" width="5.85546875" style="247" customWidth="1"/>
    <col min="6402" max="6402" width="54.140625" style="247" customWidth="1"/>
    <col min="6403" max="6403" width="13.7109375" style="247" customWidth="1"/>
    <col min="6404" max="6404" width="10" style="247" customWidth="1"/>
    <col min="6405" max="6405" width="11.42578125" style="247" customWidth="1"/>
    <col min="6406" max="6656" width="9.140625" style="247"/>
    <col min="6657" max="6657" width="5.85546875" style="247" customWidth="1"/>
    <col min="6658" max="6658" width="54.140625" style="247" customWidth="1"/>
    <col min="6659" max="6659" width="13.7109375" style="247" customWidth="1"/>
    <col min="6660" max="6660" width="10" style="247" customWidth="1"/>
    <col min="6661" max="6661" width="11.42578125" style="247" customWidth="1"/>
    <col min="6662" max="6912" width="9.140625" style="247"/>
    <col min="6913" max="6913" width="5.85546875" style="247" customWidth="1"/>
    <col min="6914" max="6914" width="54.140625" style="247" customWidth="1"/>
    <col min="6915" max="6915" width="13.7109375" style="247" customWidth="1"/>
    <col min="6916" max="6916" width="10" style="247" customWidth="1"/>
    <col min="6917" max="6917" width="11.42578125" style="247" customWidth="1"/>
    <col min="6918" max="7168" width="9.140625" style="247"/>
    <col min="7169" max="7169" width="5.85546875" style="247" customWidth="1"/>
    <col min="7170" max="7170" width="54.140625" style="247" customWidth="1"/>
    <col min="7171" max="7171" width="13.7109375" style="247" customWidth="1"/>
    <col min="7172" max="7172" width="10" style="247" customWidth="1"/>
    <col min="7173" max="7173" width="11.42578125" style="247" customWidth="1"/>
    <col min="7174" max="7424" width="9.140625" style="247"/>
    <col min="7425" max="7425" width="5.85546875" style="247" customWidth="1"/>
    <col min="7426" max="7426" width="54.140625" style="247" customWidth="1"/>
    <col min="7427" max="7427" width="13.7109375" style="247" customWidth="1"/>
    <col min="7428" max="7428" width="10" style="247" customWidth="1"/>
    <col min="7429" max="7429" width="11.42578125" style="247" customWidth="1"/>
    <col min="7430" max="7680" width="9.140625" style="247"/>
    <col min="7681" max="7681" width="5.85546875" style="247" customWidth="1"/>
    <col min="7682" max="7682" width="54.140625" style="247" customWidth="1"/>
    <col min="7683" max="7683" width="13.7109375" style="247" customWidth="1"/>
    <col min="7684" max="7684" width="10" style="247" customWidth="1"/>
    <col min="7685" max="7685" width="11.42578125" style="247" customWidth="1"/>
    <col min="7686" max="7936" width="9.140625" style="247"/>
    <col min="7937" max="7937" width="5.85546875" style="247" customWidth="1"/>
    <col min="7938" max="7938" width="54.140625" style="247" customWidth="1"/>
    <col min="7939" max="7939" width="13.7109375" style="247" customWidth="1"/>
    <col min="7940" max="7940" width="10" style="247" customWidth="1"/>
    <col min="7941" max="7941" width="11.42578125" style="247" customWidth="1"/>
    <col min="7942" max="8192" width="9.140625" style="247"/>
    <col min="8193" max="8193" width="5.85546875" style="247" customWidth="1"/>
    <col min="8194" max="8194" width="54.140625" style="247" customWidth="1"/>
    <col min="8195" max="8195" width="13.7109375" style="247" customWidth="1"/>
    <col min="8196" max="8196" width="10" style="247" customWidth="1"/>
    <col min="8197" max="8197" width="11.42578125" style="247" customWidth="1"/>
    <col min="8198" max="8448" width="9.140625" style="247"/>
    <col min="8449" max="8449" width="5.85546875" style="247" customWidth="1"/>
    <col min="8450" max="8450" width="54.140625" style="247" customWidth="1"/>
    <col min="8451" max="8451" width="13.7109375" style="247" customWidth="1"/>
    <col min="8452" max="8452" width="10" style="247" customWidth="1"/>
    <col min="8453" max="8453" width="11.42578125" style="247" customWidth="1"/>
    <col min="8454" max="8704" width="9.140625" style="247"/>
    <col min="8705" max="8705" width="5.85546875" style="247" customWidth="1"/>
    <col min="8706" max="8706" width="54.140625" style="247" customWidth="1"/>
    <col min="8707" max="8707" width="13.7109375" style="247" customWidth="1"/>
    <col min="8708" max="8708" width="10" style="247" customWidth="1"/>
    <col min="8709" max="8709" width="11.42578125" style="247" customWidth="1"/>
    <col min="8710" max="8960" width="9.140625" style="247"/>
    <col min="8961" max="8961" width="5.85546875" style="247" customWidth="1"/>
    <col min="8962" max="8962" width="54.140625" style="247" customWidth="1"/>
    <col min="8963" max="8963" width="13.7109375" style="247" customWidth="1"/>
    <col min="8964" max="8964" width="10" style="247" customWidth="1"/>
    <col min="8965" max="8965" width="11.42578125" style="247" customWidth="1"/>
    <col min="8966" max="9216" width="9.140625" style="247"/>
    <col min="9217" max="9217" width="5.85546875" style="247" customWidth="1"/>
    <col min="9218" max="9218" width="54.140625" style="247" customWidth="1"/>
    <col min="9219" max="9219" width="13.7109375" style="247" customWidth="1"/>
    <col min="9220" max="9220" width="10" style="247" customWidth="1"/>
    <col min="9221" max="9221" width="11.42578125" style="247" customWidth="1"/>
    <col min="9222" max="9472" width="9.140625" style="247"/>
    <col min="9473" max="9473" width="5.85546875" style="247" customWidth="1"/>
    <col min="9474" max="9474" width="54.140625" style="247" customWidth="1"/>
    <col min="9475" max="9475" width="13.7109375" style="247" customWidth="1"/>
    <col min="9476" max="9476" width="10" style="247" customWidth="1"/>
    <col min="9477" max="9477" width="11.42578125" style="247" customWidth="1"/>
    <col min="9478" max="9728" width="9.140625" style="247"/>
    <col min="9729" max="9729" width="5.85546875" style="247" customWidth="1"/>
    <col min="9730" max="9730" width="54.140625" style="247" customWidth="1"/>
    <col min="9731" max="9731" width="13.7109375" style="247" customWidth="1"/>
    <col min="9732" max="9732" width="10" style="247" customWidth="1"/>
    <col min="9733" max="9733" width="11.42578125" style="247" customWidth="1"/>
    <col min="9734" max="9984" width="9.140625" style="247"/>
    <col min="9985" max="9985" width="5.85546875" style="247" customWidth="1"/>
    <col min="9986" max="9986" width="54.140625" style="247" customWidth="1"/>
    <col min="9987" max="9987" width="13.7109375" style="247" customWidth="1"/>
    <col min="9988" max="9988" width="10" style="247" customWidth="1"/>
    <col min="9989" max="9989" width="11.42578125" style="247" customWidth="1"/>
    <col min="9990" max="10240" width="9.140625" style="247"/>
    <col min="10241" max="10241" width="5.85546875" style="247" customWidth="1"/>
    <col min="10242" max="10242" width="54.140625" style="247" customWidth="1"/>
    <col min="10243" max="10243" width="13.7109375" style="247" customWidth="1"/>
    <col min="10244" max="10244" width="10" style="247" customWidth="1"/>
    <col min="10245" max="10245" width="11.42578125" style="247" customWidth="1"/>
    <col min="10246" max="10496" width="9.140625" style="247"/>
    <col min="10497" max="10497" width="5.85546875" style="247" customWidth="1"/>
    <col min="10498" max="10498" width="54.140625" style="247" customWidth="1"/>
    <col min="10499" max="10499" width="13.7109375" style="247" customWidth="1"/>
    <col min="10500" max="10500" width="10" style="247" customWidth="1"/>
    <col min="10501" max="10501" width="11.42578125" style="247" customWidth="1"/>
    <col min="10502" max="10752" width="9.140625" style="247"/>
    <col min="10753" max="10753" width="5.85546875" style="247" customWidth="1"/>
    <col min="10754" max="10754" width="54.140625" style="247" customWidth="1"/>
    <col min="10755" max="10755" width="13.7109375" style="247" customWidth="1"/>
    <col min="10756" max="10756" width="10" style="247" customWidth="1"/>
    <col min="10757" max="10757" width="11.42578125" style="247" customWidth="1"/>
    <col min="10758" max="11008" width="9.140625" style="247"/>
    <col min="11009" max="11009" width="5.85546875" style="247" customWidth="1"/>
    <col min="11010" max="11010" width="54.140625" style="247" customWidth="1"/>
    <col min="11011" max="11011" width="13.7109375" style="247" customWidth="1"/>
    <col min="11012" max="11012" width="10" style="247" customWidth="1"/>
    <col min="11013" max="11013" width="11.42578125" style="247" customWidth="1"/>
    <col min="11014" max="11264" width="9.140625" style="247"/>
    <col min="11265" max="11265" width="5.85546875" style="247" customWidth="1"/>
    <col min="11266" max="11266" width="54.140625" style="247" customWidth="1"/>
    <col min="11267" max="11267" width="13.7109375" style="247" customWidth="1"/>
    <col min="11268" max="11268" width="10" style="247" customWidth="1"/>
    <col min="11269" max="11269" width="11.42578125" style="247" customWidth="1"/>
    <col min="11270" max="11520" width="9.140625" style="247"/>
    <col min="11521" max="11521" width="5.85546875" style="247" customWidth="1"/>
    <col min="11522" max="11522" width="54.140625" style="247" customWidth="1"/>
    <col min="11523" max="11523" width="13.7109375" style="247" customWidth="1"/>
    <col min="11524" max="11524" width="10" style="247" customWidth="1"/>
    <col min="11525" max="11525" width="11.42578125" style="247" customWidth="1"/>
    <col min="11526" max="11776" width="9.140625" style="247"/>
    <col min="11777" max="11777" width="5.85546875" style="247" customWidth="1"/>
    <col min="11778" max="11778" width="54.140625" style="247" customWidth="1"/>
    <col min="11779" max="11779" width="13.7109375" style="247" customWidth="1"/>
    <col min="11780" max="11780" width="10" style="247" customWidth="1"/>
    <col min="11781" max="11781" width="11.42578125" style="247" customWidth="1"/>
    <col min="11782" max="12032" width="9.140625" style="247"/>
    <col min="12033" max="12033" width="5.85546875" style="247" customWidth="1"/>
    <col min="12034" max="12034" width="54.140625" style="247" customWidth="1"/>
    <col min="12035" max="12035" width="13.7109375" style="247" customWidth="1"/>
    <col min="12036" max="12036" width="10" style="247" customWidth="1"/>
    <col min="12037" max="12037" width="11.42578125" style="247" customWidth="1"/>
    <col min="12038" max="12288" width="9.140625" style="247"/>
    <col min="12289" max="12289" width="5.85546875" style="247" customWidth="1"/>
    <col min="12290" max="12290" width="54.140625" style="247" customWidth="1"/>
    <col min="12291" max="12291" width="13.7109375" style="247" customWidth="1"/>
    <col min="12292" max="12292" width="10" style="247" customWidth="1"/>
    <col min="12293" max="12293" width="11.42578125" style="247" customWidth="1"/>
    <col min="12294" max="12544" width="9.140625" style="247"/>
    <col min="12545" max="12545" width="5.85546875" style="247" customWidth="1"/>
    <col min="12546" max="12546" width="54.140625" style="247" customWidth="1"/>
    <col min="12547" max="12547" width="13.7109375" style="247" customWidth="1"/>
    <col min="12548" max="12548" width="10" style="247" customWidth="1"/>
    <col min="12549" max="12549" width="11.42578125" style="247" customWidth="1"/>
    <col min="12550" max="12800" width="9.140625" style="247"/>
    <col min="12801" max="12801" width="5.85546875" style="247" customWidth="1"/>
    <col min="12802" max="12802" width="54.140625" style="247" customWidth="1"/>
    <col min="12803" max="12803" width="13.7109375" style="247" customWidth="1"/>
    <col min="12804" max="12804" width="10" style="247" customWidth="1"/>
    <col min="12805" max="12805" width="11.42578125" style="247" customWidth="1"/>
    <col min="12806" max="13056" width="9.140625" style="247"/>
    <col min="13057" max="13057" width="5.85546875" style="247" customWidth="1"/>
    <col min="13058" max="13058" width="54.140625" style="247" customWidth="1"/>
    <col min="13059" max="13059" width="13.7109375" style="247" customWidth="1"/>
    <col min="13060" max="13060" width="10" style="247" customWidth="1"/>
    <col min="13061" max="13061" width="11.42578125" style="247" customWidth="1"/>
    <col min="13062" max="13312" width="9.140625" style="247"/>
    <col min="13313" max="13313" width="5.85546875" style="247" customWidth="1"/>
    <col min="13314" max="13314" width="54.140625" style="247" customWidth="1"/>
    <col min="13315" max="13315" width="13.7109375" style="247" customWidth="1"/>
    <col min="13316" max="13316" width="10" style="247" customWidth="1"/>
    <col min="13317" max="13317" width="11.42578125" style="247" customWidth="1"/>
    <col min="13318" max="13568" width="9.140625" style="247"/>
    <col min="13569" max="13569" width="5.85546875" style="247" customWidth="1"/>
    <col min="13570" max="13570" width="54.140625" style="247" customWidth="1"/>
    <col min="13571" max="13571" width="13.7109375" style="247" customWidth="1"/>
    <col min="13572" max="13572" width="10" style="247" customWidth="1"/>
    <col min="13573" max="13573" width="11.42578125" style="247" customWidth="1"/>
    <col min="13574" max="13824" width="9.140625" style="247"/>
    <col min="13825" max="13825" width="5.85546875" style="247" customWidth="1"/>
    <col min="13826" max="13826" width="54.140625" style="247" customWidth="1"/>
    <col min="13827" max="13827" width="13.7109375" style="247" customWidth="1"/>
    <col min="13828" max="13828" width="10" style="247" customWidth="1"/>
    <col min="13829" max="13829" width="11.42578125" style="247" customWidth="1"/>
    <col min="13830" max="14080" width="9.140625" style="247"/>
    <col min="14081" max="14081" width="5.85546875" style="247" customWidth="1"/>
    <col min="14082" max="14082" width="54.140625" style="247" customWidth="1"/>
    <col min="14083" max="14083" width="13.7109375" style="247" customWidth="1"/>
    <col min="14084" max="14084" width="10" style="247" customWidth="1"/>
    <col min="14085" max="14085" width="11.42578125" style="247" customWidth="1"/>
    <col min="14086" max="14336" width="9.140625" style="247"/>
    <col min="14337" max="14337" width="5.85546875" style="247" customWidth="1"/>
    <col min="14338" max="14338" width="54.140625" style="247" customWidth="1"/>
    <col min="14339" max="14339" width="13.7109375" style="247" customWidth="1"/>
    <col min="14340" max="14340" width="10" style="247" customWidth="1"/>
    <col min="14341" max="14341" width="11.42578125" style="247" customWidth="1"/>
    <col min="14342" max="14592" width="9.140625" style="247"/>
    <col min="14593" max="14593" width="5.85546875" style="247" customWidth="1"/>
    <col min="14594" max="14594" width="54.140625" style="247" customWidth="1"/>
    <col min="14595" max="14595" width="13.7109375" style="247" customWidth="1"/>
    <col min="14596" max="14596" width="10" style="247" customWidth="1"/>
    <col min="14597" max="14597" width="11.42578125" style="247" customWidth="1"/>
    <col min="14598" max="14848" width="9.140625" style="247"/>
    <col min="14849" max="14849" width="5.85546875" style="247" customWidth="1"/>
    <col min="14850" max="14850" width="54.140625" style="247" customWidth="1"/>
    <col min="14851" max="14851" width="13.7109375" style="247" customWidth="1"/>
    <col min="14852" max="14852" width="10" style="247" customWidth="1"/>
    <col min="14853" max="14853" width="11.42578125" style="247" customWidth="1"/>
    <col min="14854" max="15104" width="9.140625" style="247"/>
    <col min="15105" max="15105" width="5.85546875" style="247" customWidth="1"/>
    <col min="15106" max="15106" width="54.140625" style="247" customWidth="1"/>
    <col min="15107" max="15107" width="13.7109375" style="247" customWidth="1"/>
    <col min="15108" max="15108" width="10" style="247" customWidth="1"/>
    <col min="15109" max="15109" width="11.42578125" style="247" customWidth="1"/>
    <col min="15110" max="15360" width="9.140625" style="247"/>
    <col min="15361" max="15361" width="5.85546875" style="247" customWidth="1"/>
    <col min="15362" max="15362" width="54.140625" style="247" customWidth="1"/>
    <col min="15363" max="15363" width="13.7109375" style="247" customWidth="1"/>
    <col min="15364" max="15364" width="10" style="247" customWidth="1"/>
    <col min="15365" max="15365" width="11.42578125" style="247" customWidth="1"/>
    <col min="15366" max="15616" width="9.140625" style="247"/>
    <col min="15617" max="15617" width="5.85546875" style="247" customWidth="1"/>
    <col min="15618" max="15618" width="54.140625" style="247" customWidth="1"/>
    <col min="15619" max="15619" width="13.7109375" style="247" customWidth="1"/>
    <col min="15620" max="15620" width="10" style="247" customWidth="1"/>
    <col min="15621" max="15621" width="11.42578125" style="247" customWidth="1"/>
    <col min="15622" max="15872" width="9.140625" style="247"/>
    <col min="15873" max="15873" width="5.85546875" style="247" customWidth="1"/>
    <col min="15874" max="15874" width="54.140625" style="247" customWidth="1"/>
    <col min="15875" max="15875" width="13.7109375" style="247" customWidth="1"/>
    <col min="15876" max="15876" width="10" style="247" customWidth="1"/>
    <col min="15877" max="15877" width="11.42578125" style="247" customWidth="1"/>
    <col min="15878" max="16128" width="9.140625" style="247"/>
    <col min="16129" max="16129" width="5.85546875" style="247" customWidth="1"/>
    <col min="16130" max="16130" width="54.140625" style="247" customWidth="1"/>
    <col min="16131" max="16131" width="13.7109375" style="247" customWidth="1"/>
    <col min="16132" max="16132" width="10" style="247" customWidth="1"/>
    <col min="16133" max="16133" width="11.42578125" style="247" customWidth="1"/>
    <col min="16134" max="16384" width="9.140625" style="247"/>
  </cols>
  <sheetData>
    <row r="1" spans="1:12" ht="19.5" customHeight="1" x14ac:dyDescent="0.25">
      <c r="B1" s="923" t="s">
        <v>572</v>
      </c>
    </row>
    <row r="2" spans="1:12" s="241" customFormat="1" ht="43.5" customHeight="1" thickBot="1" x14ac:dyDescent="0.35">
      <c r="A2" s="1033" t="s">
        <v>460</v>
      </c>
      <c r="B2" s="1033"/>
      <c r="C2" s="1033"/>
      <c r="D2" s="319"/>
    </row>
    <row r="3" spans="1:12" s="242" customFormat="1" ht="32.25" thickBot="1" x14ac:dyDescent="0.3">
      <c r="A3" s="320" t="s">
        <v>159</v>
      </c>
      <c r="B3" s="321" t="s">
        <v>160</v>
      </c>
      <c r="C3" s="468" t="s">
        <v>459</v>
      </c>
      <c r="D3" s="469"/>
      <c r="E3" s="25"/>
      <c r="F3" s="309"/>
      <c r="G3" s="546"/>
      <c r="H3" s="542"/>
    </row>
    <row r="4" spans="1:12" s="244" customFormat="1" ht="16.5" thickTop="1" x14ac:dyDescent="0.25">
      <c r="A4" s="436">
        <v>1</v>
      </c>
      <c r="B4" s="236" t="s">
        <v>161</v>
      </c>
      <c r="C4" s="437">
        <v>1077617</v>
      </c>
      <c r="D4" s="470"/>
      <c r="E4" s="574"/>
      <c r="F4" s="472"/>
      <c r="G4" s="548"/>
      <c r="H4" s="520"/>
      <c r="J4" s="554"/>
      <c r="K4" s="555"/>
    </row>
    <row r="5" spans="1:12" s="244" customFormat="1" ht="15.75" x14ac:dyDescent="0.25">
      <c r="A5" s="436">
        <v>2</v>
      </c>
      <c r="B5" s="236" t="s">
        <v>162</v>
      </c>
      <c r="C5" s="438">
        <v>11801</v>
      </c>
      <c r="D5" s="470"/>
      <c r="E5" s="307"/>
      <c r="F5" s="272"/>
      <c r="G5" s="548"/>
      <c r="H5" s="520"/>
      <c r="J5" s="554"/>
      <c r="K5" s="555"/>
    </row>
    <row r="6" spans="1:12" s="244" customFormat="1" ht="15.75" x14ac:dyDescent="0.25">
      <c r="A6" s="436">
        <v>3</v>
      </c>
      <c r="B6" s="236" t="s">
        <v>163</v>
      </c>
      <c r="C6" s="438">
        <v>14398</v>
      </c>
      <c r="D6" s="470"/>
      <c r="E6" s="307"/>
      <c r="F6" s="272"/>
      <c r="G6" s="548"/>
      <c r="H6" s="520"/>
      <c r="J6" s="554"/>
      <c r="K6" s="555"/>
      <c r="L6" s="308"/>
    </row>
    <row r="7" spans="1:12" s="244" customFormat="1" ht="15.75" x14ac:dyDescent="0.25">
      <c r="A7" s="436">
        <v>4</v>
      </c>
      <c r="B7" s="236" t="s">
        <v>164</v>
      </c>
      <c r="C7" s="438">
        <v>21553</v>
      </c>
      <c r="D7" s="470"/>
      <c r="E7" s="307"/>
      <c r="F7" s="272"/>
      <c r="G7" s="548"/>
      <c r="H7" s="520"/>
      <c r="J7" s="554"/>
      <c r="K7" s="555"/>
    </row>
    <row r="8" spans="1:12" s="244" customFormat="1" ht="31.5" x14ac:dyDescent="0.25">
      <c r="A8" s="436">
        <v>5</v>
      </c>
      <c r="B8" s="236" t="s">
        <v>165</v>
      </c>
      <c r="C8" s="438">
        <v>8941</v>
      </c>
      <c r="D8" s="470"/>
      <c r="E8" s="307"/>
      <c r="F8" s="272"/>
      <c r="G8" s="548"/>
      <c r="H8" s="520"/>
      <c r="J8" s="554"/>
      <c r="K8" s="555"/>
    </row>
    <row r="9" spans="1:12" s="244" customFormat="1" ht="19.5" customHeight="1" x14ac:dyDescent="0.25">
      <c r="A9" s="436">
        <v>6</v>
      </c>
      <c r="B9" s="236" t="s">
        <v>370</v>
      </c>
      <c r="C9" s="439">
        <v>60695</v>
      </c>
      <c r="D9" s="470"/>
      <c r="E9" s="307"/>
      <c r="F9" s="272"/>
      <c r="G9" s="548"/>
      <c r="H9" s="547"/>
      <c r="J9" s="556"/>
      <c r="K9" s="557"/>
    </row>
    <row r="10" spans="1:12" s="244" customFormat="1" ht="15.75" x14ac:dyDescent="0.25">
      <c r="A10" s="436">
        <v>7</v>
      </c>
      <c r="B10" s="236" t="s">
        <v>122</v>
      </c>
      <c r="C10" s="438">
        <v>16520</v>
      </c>
      <c r="D10" s="470"/>
      <c r="E10" s="307"/>
      <c r="F10" s="272"/>
      <c r="G10" s="548"/>
      <c r="H10" s="520"/>
      <c r="J10" s="554"/>
      <c r="K10" s="555"/>
    </row>
    <row r="11" spans="1:12" s="244" customFormat="1" ht="15.75" x14ac:dyDescent="0.25">
      <c r="A11" s="436">
        <v>8</v>
      </c>
      <c r="B11" s="236" t="s">
        <v>173</v>
      </c>
      <c r="C11" s="438">
        <v>600</v>
      </c>
      <c r="D11" s="470"/>
      <c r="E11" s="307"/>
      <c r="F11" s="272"/>
      <c r="G11" s="548"/>
      <c r="H11" s="520"/>
      <c r="J11" s="554"/>
      <c r="K11" s="555"/>
    </row>
    <row r="12" spans="1:12" s="244" customFormat="1" ht="31.5" x14ac:dyDescent="0.25">
      <c r="A12" s="436">
        <v>9</v>
      </c>
      <c r="B12" s="236" t="s">
        <v>371</v>
      </c>
      <c r="C12" s="438">
        <f>73729-23280</f>
        <v>50449</v>
      </c>
      <c r="D12" s="470"/>
      <c r="E12" s="307"/>
      <c r="F12" s="272"/>
      <c r="G12" s="548"/>
      <c r="H12" s="520"/>
      <c r="J12" s="554"/>
      <c r="K12" s="555"/>
    </row>
    <row r="13" spans="1:12" s="244" customFormat="1" ht="31.5" x14ac:dyDescent="0.25">
      <c r="A13" s="436">
        <v>10</v>
      </c>
      <c r="B13" s="236" t="s">
        <v>176</v>
      </c>
      <c r="C13" s="438">
        <v>40571</v>
      </c>
      <c r="D13" s="470"/>
      <c r="E13" s="307"/>
      <c r="F13" s="272"/>
      <c r="G13" s="548"/>
      <c r="H13" s="520"/>
      <c r="J13" s="554"/>
      <c r="K13" s="555"/>
    </row>
    <row r="14" spans="1:12" s="244" customFormat="1" ht="15.75" x14ac:dyDescent="0.25">
      <c r="A14" s="436">
        <v>11</v>
      </c>
      <c r="B14" s="418" t="s">
        <v>372</v>
      </c>
      <c r="C14" s="438">
        <v>3837</v>
      </c>
      <c r="D14" s="470"/>
      <c r="E14" s="307"/>
      <c r="F14" s="272"/>
      <c r="G14" s="548"/>
      <c r="H14" s="520"/>
      <c r="J14" s="554"/>
      <c r="K14" s="555"/>
    </row>
    <row r="15" spans="1:12" s="244" customFormat="1" ht="31.5" x14ac:dyDescent="0.25">
      <c r="A15" s="436">
        <v>12</v>
      </c>
      <c r="B15" s="236" t="s">
        <v>437</v>
      </c>
      <c r="C15" s="439"/>
      <c r="D15" s="470"/>
      <c r="E15" s="307"/>
      <c r="F15" s="272"/>
      <c r="G15" s="548"/>
      <c r="H15" s="547"/>
      <c r="J15" s="554"/>
      <c r="K15" s="555"/>
    </row>
    <row r="16" spans="1:12" s="244" customFormat="1" ht="15.75" x14ac:dyDescent="0.25">
      <c r="A16" s="436">
        <v>13</v>
      </c>
      <c r="B16" s="440" t="s">
        <v>175</v>
      </c>
      <c r="C16" s="438">
        <v>32000</v>
      </c>
      <c r="D16" s="470"/>
      <c r="E16" s="307"/>
      <c r="F16" s="272"/>
      <c r="G16" s="548"/>
      <c r="H16" s="520"/>
      <c r="J16" s="554"/>
      <c r="K16" s="555"/>
    </row>
    <row r="17" spans="1:11" s="244" customFormat="1" ht="19.5" customHeight="1" x14ac:dyDescent="0.25">
      <c r="A17" s="436">
        <v>14</v>
      </c>
      <c r="B17" s="440" t="s">
        <v>205</v>
      </c>
      <c r="C17" s="438">
        <v>5300</v>
      </c>
      <c r="D17" s="470"/>
      <c r="E17" s="307"/>
      <c r="F17" s="272"/>
      <c r="G17" s="548"/>
      <c r="H17" s="520"/>
      <c r="J17" s="554"/>
      <c r="K17" s="555"/>
    </row>
    <row r="18" spans="1:11" s="244" customFormat="1" ht="15.75" x14ac:dyDescent="0.25">
      <c r="A18" s="436">
        <v>15</v>
      </c>
      <c r="B18" s="17" t="s">
        <v>438</v>
      </c>
      <c r="C18" s="439"/>
      <c r="D18" s="470"/>
      <c r="E18" s="307"/>
      <c r="F18" s="277"/>
      <c r="G18" s="548"/>
      <c r="H18" s="547"/>
      <c r="J18" s="556"/>
      <c r="K18" s="555"/>
    </row>
    <row r="19" spans="1:11" s="244" customFormat="1" ht="15.6" customHeight="1" x14ac:dyDescent="0.25">
      <c r="A19" s="436">
        <v>16</v>
      </c>
      <c r="B19" s="236" t="s">
        <v>373</v>
      </c>
      <c r="C19" s="438"/>
      <c r="D19" s="470"/>
      <c r="E19" s="307"/>
      <c r="F19" s="272"/>
      <c r="G19" s="548"/>
      <c r="H19" s="520"/>
      <c r="K19" s="555"/>
    </row>
    <row r="20" spans="1:11" s="244" customFormat="1" ht="15.75" x14ac:dyDescent="0.25">
      <c r="A20" s="436">
        <v>17</v>
      </c>
      <c r="B20" s="441" t="s">
        <v>374</v>
      </c>
      <c r="C20" s="442">
        <v>5100</v>
      </c>
      <c r="D20" s="470"/>
      <c r="E20" s="277"/>
      <c r="F20" s="272"/>
      <c r="G20" s="548"/>
      <c r="H20" s="547"/>
    </row>
    <row r="21" spans="1:11" s="244" customFormat="1" ht="31.5" x14ac:dyDescent="0.25">
      <c r="A21" s="436">
        <v>18</v>
      </c>
      <c r="B21" s="896" t="s">
        <v>576</v>
      </c>
      <c r="C21" s="895">
        <v>20654</v>
      </c>
      <c r="D21" s="470"/>
      <c r="E21" s="277"/>
      <c r="F21" s="272"/>
      <c r="G21" s="548"/>
      <c r="H21" s="547"/>
    </row>
    <row r="22" spans="1:11" s="244" customFormat="1" ht="16.5" thickBot="1" x14ac:dyDescent="0.3">
      <c r="A22" s="436">
        <v>19</v>
      </c>
      <c r="B22" s="897" t="s">
        <v>577</v>
      </c>
      <c r="C22" s="443">
        <v>15600</v>
      </c>
      <c r="D22" s="470"/>
      <c r="E22" s="307"/>
      <c r="F22" s="272"/>
      <c r="G22" s="322"/>
      <c r="H22" s="307"/>
    </row>
    <row r="23" spans="1:11" s="244" customFormat="1" ht="16.5" thickBot="1" x14ac:dyDescent="0.3">
      <c r="A23" s="323"/>
      <c r="B23" s="324" t="s">
        <v>206</v>
      </c>
      <c r="C23" s="325">
        <f>SUM(C4:C22)</f>
        <v>1385636</v>
      </c>
      <c r="D23" s="898" t="s">
        <v>291</v>
      </c>
      <c r="E23" s="574"/>
      <c r="F23" s="471"/>
      <c r="G23" s="548"/>
      <c r="H23" s="548"/>
    </row>
    <row r="24" spans="1:11" s="244" customFormat="1" ht="15.75" x14ac:dyDescent="0.25">
      <c r="A24" s="245"/>
      <c r="B24" s="311"/>
      <c r="C24" s="312"/>
      <c r="D24" s="539"/>
      <c r="E24" s="573"/>
      <c r="F24" s="313"/>
      <c r="G24" s="313"/>
      <c r="H24" s="313"/>
    </row>
    <row r="25" spans="1:11" ht="15.75" x14ac:dyDescent="0.25">
      <c r="A25" s="245"/>
      <c r="B25" s="235" t="s">
        <v>155</v>
      </c>
      <c r="C25" s="16" t="s">
        <v>41</v>
      </c>
      <c r="D25" s="16"/>
      <c r="E25" s="246"/>
    </row>
    <row r="26" spans="1:11" s="254" customFormat="1" ht="11.25" hidden="1" customHeight="1" x14ac:dyDescent="0.2">
      <c r="A26" s="247"/>
      <c r="B26" s="259"/>
      <c r="C26" s="246"/>
      <c r="D26" s="246"/>
      <c r="E26" s="253"/>
    </row>
    <row r="27" spans="1:11" s="252" customFormat="1" x14ac:dyDescent="0.2">
      <c r="A27" s="247"/>
      <c r="B27" s="259"/>
      <c r="C27" s="246"/>
      <c r="D27" s="246"/>
      <c r="E27" s="251"/>
    </row>
    <row r="28" spans="1:11" s="252" customFormat="1" hidden="1" x14ac:dyDescent="0.2">
      <c r="A28" s="247"/>
      <c r="B28" s="259"/>
      <c r="C28" s="246"/>
      <c r="D28" s="246"/>
      <c r="E28" s="251"/>
    </row>
    <row r="29" spans="1:11" s="252" customFormat="1" x14ac:dyDescent="0.2">
      <c r="A29" s="247"/>
      <c r="B29" s="259"/>
      <c r="C29" s="246"/>
      <c r="D29" s="246"/>
      <c r="E29" s="251"/>
    </row>
    <row r="30" spans="1:11" x14ac:dyDescent="0.2">
      <c r="E30" s="246"/>
    </row>
    <row r="31" spans="1:11" x14ac:dyDescent="0.2">
      <c r="E31" s="246"/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workbookViewId="0">
      <selection activeCell="L60" sqref="L60"/>
    </sheetView>
  </sheetViews>
  <sheetFormatPr defaultRowHeight="12.75" x14ac:dyDescent="0.2"/>
  <cols>
    <col min="1" max="1" width="62.5703125" style="29" customWidth="1"/>
    <col min="2" max="2" width="9.7109375" style="26" customWidth="1"/>
    <col min="3" max="4" width="13.5703125" style="39" customWidth="1"/>
    <col min="5" max="5" width="9.5703125" style="26" bestFit="1" customWidth="1"/>
    <col min="6" max="6" width="10.28515625" style="26" customWidth="1"/>
    <col min="7" max="7" width="9.140625" style="26" customWidth="1"/>
    <col min="8" max="8" width="9.28515625" style="26" customWidth="1"/>
    <col min="9" max="9" width="9.7109375" style="26" customWidth="1"/>
    <col min="10" max="10" width="10.5703125" style="26" customWidth="1"/>
    <col min="11" max="256" width="9.140625" style="26"/>
    <col min="257" max="257" width="62.5703125" style="26" customWidth="1"/>
    <col min="258" max="258" width="9.7109375" style="26" customWidth="1"/>
    <col min="259" max="260" width="13.5703125" style="26" customWidth="1"/>
    <col min="261" max="261" width="9.5703125" style="26" bestFit="1" customWidth="1"/>
    <col min="262" max="262" width="10.28515625" style="26" customWidth="1"/>
    <col min="263" max="263" width="9.140625" style="26" customWidth="1"/>
    <col min="264" max="264" width="9.28515625" style="26" customWidth="1"/>
    <col min="265" max="265" width="9.7109375" style="26" customWidth="1"/>
    <col min="266" max="512" width="9.140625" style="26"/>
    <col min="513" max="513" width="62.5703125" style="26" customWidth="1"/>
    <col min="514" max="514" width="9.7109375" style="26" customWidth="1"/>
    <col min="515" max="516" width="13.5703125" style="26" customWidth="1"/>
    <col min="517" max="517" width="9.5703125" style="26" bestFit="1" customWidth="1"/>
    <col min="518" max="518" width="10.28515625" style="26" customWidth="1"/>
    <col min="519" max="519" width="9.140625" style="26" customWidth="1"/>
    <col min="520" max="520" width="9.28515625" style="26" customWidth="1"/>
    <col min="521" max="521" width="9.7109375" style="26" customWidth="1"/>
    <col min="522" max="768" width="9.140625" style="26"/>
    <col min="769" max="769" width="62.5703125" style="26" customWidth="1"/>
    <col min="770" max="770" width="9.7109375" style="26" customWidth="1"/>
    <col min="771" max="772" width="13.5703125" style="26" customWidth="1"/>
    <col min="773" max="773" width="9.5703125" style="26" bestFit="1" customWidth="1"/>
    <col min="774" max="774" width="10.28515625" style="26" customWidth="1"/>
    <col min="775" max="775" width="9.140625" style="26" customWidth="1"/>
    <col min="776" max="776" width="9.28515625" style="26" customWidth="1"/>
    <col min="777" max="777" width="9.7109375" style="26" customWidth="1"/>
    <col min="778" max="1024" width="9.140625" style="26"/>
    <col min="1025" max="1025" width="62.5703125" style="26" customWidth="1"/>
    <col min="1026" max="1026" width="9.7109375" style="26" customWidth="1"/>
    <col min="1027" max="1028" width="13.5703125" style="26" customWidth="1"/>
    <col min="1029" max="1029" width="9.5703125" style="26" bestFit="1" customWidth="1"/>
    <col min="1030" max="1030" width="10.28515625" style="26" customWidth="1"/>
    <col min="1031" max="1031" width="9.140625" style="26" customWidth="1"/>
    <col min="1032" max="1032" width="9.28515625" style="26" customWidth="1"/>
    <col min="1033" max="1033" width="9.7109375" style="26" customWidth="1"/>
    <col min="1034" max="1280" width="9.140625" style="26"/>
    <col min="1281" max="1281" width="62.5703125" style="26" customWidth="1"/>
    <col min="1282" max="1282" width="9.7109375" style="26" customWidth="1"/>
    <col min="1283" max="1284" width="13.5703125" style="26" customWidth="1"/>
    <col min="1285" max="1285" width="9.5703125" style="26" bestFit="1" customWidth="1"/>
    <col min="1286" max="1286" width="10.28515625" style="26" customWidth="1"/>
    <col min="1287" max="1287" width="9.140625" style="26" customWidth="1"/>
    <col min="1288" max="1288" width="9.28515625" style="26" customWidth="1"/>
    <col min="1289" max="1289" width="9.7109375" style="26" customWidth="1"/>
    <col min="1290" max="1536" width="9.140625" style="26"/>
    <col min="1537" max="1537" width="62.5703125" style="26" customWidth="1"/>
    <col min="1538" max="1538" width="9.7109375" style="26" customWidth="1"/>
    <col min="1539" max="1540" width="13.5703125" style="26" customWidth="1"/>
    <col min="1541" max="1541" width="9.5703125" style="26" bestFit="1" customWidth="1"/>
    <col min="1542" max="1542" width="10.28515625" style="26" customWidth="1"/>
    <col min="1543" max="1543" width="9.140625" style="26" customWidth="1"/>
    <col min="1544" max="1544" width="9.28515625" style="26" customWidth="1"/>
    <col min="1545" max="1545" width="9.7109375" style="26" customWidth="1"/>
    <col min="1546" max="1792" width="9.140625" style="26"/>
    <col min="1793" max="1793" width="62.5703125" style="26" customWidth="1"/>
    <col min="1794" max="1794" width="9.7109375" style="26" customWidth="1"/>
    <col min="1795" max="1796" width="13.5703125" style="26" customWidth="1"/>
    <col min="1797" max="1797" width="9.5703125" style="26" bestFit="1" customWidth="1"/>
    <col min="1798" max="1798" width="10.28515625" style="26" customWidth="1"/>
    <col min="1799" max="1799" width="9.140625" style="26" customWidth="1"/>
    <col min="1800" max="1800" width="9.28515625" style="26" customWidth="1"/>
    <col min="1801" max="1801" width="9.7109375" style="26" customWidth="1"/>
    <col min="1802" max="2048" width="9.140625" style="26"/>
    <col min="2049" max="2049" width="62.5703125" style="26" customWidth="1"/>
    <col min="2050" max="2050" width="9.7109375" style="26" customWidth="1"/>
    <col min="2051" max="2052" width="13.5703125" style="26" customWidth="1"/>
    <col min="2053" max="2053" width="9.5703125" style="26" bestFit="1" customWidth="1"/>
    <col min="2054" max="2054" width="10.28515625" style="26" customWidth="1"/>
    <col min="2055" max="2055" width="9.140625" style="26" customWidth="1"/>
    <col min="2056" max="2056" width="9.28515625" style="26" customWidth="1"/>
    <col min="2057" max="2057" width="9.7109375" style="26" customWidth="1"/>
    <col min="2058" max="2304" width="9.140625" style="26"/>
    <col min="2305" max="2305" width="62.5703125" style="26" customWidth="1"/>
    <col min="2306" max="2306" width="9.7109375" style="26" customWidth="1"/>
    <col min="2307" max="2308" width="13.5703125" style="26" customWidth="1"/>
    <col min="2309" max="2309" width="9.5703125" style="26" bestFit="1" customWidth="1"/>
    <col min="2310" max="2310" width="10.28515625" style="26" customWidth="1"/>
    <col min="2311" max="2311" width="9.140625" style="26" customWidth="1"/>
    <col min="2312" max="2312" width="9.28515625" style="26" customWidth="1"/>
    <col min="2313" max="2313" width="9.7109375" style="26" customWidth="1"/>
    <col min="2314" max="2560" width="9.140625" style="26"/>
    <col min="2561" max="2561" width="62.5703125" style="26" customWidth="1"/>
    <col min="2562" max="2562" width="9.7109375" style="26" customWidth="1"/>
    <col min="2563" max="2564" width="13.5703125" style="26" customWidth="1"/>
    <col min="2565" max="2565" width="9.5703125" style="26" bestFit="1" customWidth="1"/>
    <col min="2566" max="2566" width="10.28515625" style="26" customWidth="1"/>
    <col min="2567" max="2567" width="9.140625" style="26" customWidth="1"/>
    <col min="2568" max="2568" width="9.28515625" style="26" customWidth="1"/>
    <col min="2569" max="2569" width="9.7109375" style="26" customWidth="1"/>
    <col min="2570" max="2816" width="9.140625" style="26"/>
    <col min="2817" max="2817" width="62.5703125" style="26" customWidth="1"/>
    <col min="2818" max="2818" width="9.7109375" style="26" customWidth="1"/>
    <col min="2819" max="2820" width="13.5703125" style="26" customWidth="1"/>
    <col min="2821" max="2821" width="9.5703125" style="26" bestFit="1" customWidth="1"/>
    <col min="2822" max="2822" width="10.28515625" style="26" customWidth="1"/>
    <col min="2823" max="2823" width="9.140625" style="26" customWidth="1"/>
    <col min="2824" max="2824" width="9.28515625" style="26" customWidth="1"/>
    <col min="2825" max="2825" width="9.7109375" style="26" customWidth="1"/>
    <col min="2826" max="3072" width="9.140625" style="26"/>
    <col min="3073" max="3073" width="62.5703125" style="26" customWidth="1"/>
    <col min="3074" max="3074" width="9.7109375" style="26" customWidth="1"/>
    <col min="3075" max="3076" width="13.5703125" style="26" customWidth="1"/>
    <col min="3077" max="3077" width="9.5703125" style="26" bestFit="1" customWidth="1"/>
    <col min="3078" max="3078" width="10.28515625" style="26" customWidth="1"/>
    <col min="3079" max="3079" width="9.140625" style="26" customWidth="1"/>
    <col min="3080" max="3080" width="9.28515625" style="26" customWidth="1"/>
    <col min="3081" max="3081" width="9.7109375" style="26" customWidth="1"/>
    <col min="3082" max="3328" width="9.140625" style="26"/>
    <col min="3329" max="3329" width="62.5703125" style="26" customWidth="1"/>
    <col min="3330" max="3330" width="9.7109375" style="26" customWidth="1"/>
    <col min="3331" max="3332" width="13.5703125" style="26" customWidth="1"/>
    <col min="3333" max="3333" width="9.5703125" style="26" bestFit="1" customWidth="1"/>
    <col min="3334" max="3334" width="10.28515625" style="26" customWidth="1"/>
    <col min="3335" max="3335" width="9.140625" style="26" customWidth="1"/>
    <col min="3336" max="3336" width="9.28515625" style="26" customWidth="1"/>
    <col min="3337" max="3337" width="9.7109375" style="26" customWidth="1"/>
    <col min="3338" max="3584" width="9.140625" style="26"/>
    <col min="3585" max="3585" width="62.5703125" style="26" customWidth="1"/>
    <col min="3586" max="3586" width="9.7109375" style="26" customWidth="1"/>
    <col min="3587" max="3588" width="13.5703125" style="26" customWidth="1"/>
    <col min="3589" max="3589" width="9.5703125" style="26" bestFit="1" customWidth="1"/>
    <col min="3590" max="3590" width="10.28515625" style="26" customWidth="1"/>
    <col min="3591" max="3591" width="9.140625" style="26" customWidth="1"/>
    <col min="3592" max="3592" width="9.28515625" style="26" customWidth="1"/>
    <col min="3593" max="3593" width="9.7109375" style="26" customWidth="1"/>
    <col min="3594" max="3840" width="9.140625" style="26"/>
    <col min="3841" max="3841" width="62.5703125" style="26" customWidth="1"/>
    <col min="3842" max="3842" width="9.7109375" style="26" customWidth="1"/>
    <col min="3843" max="3844" width="13.5703125" style="26" customWidth="1"/>
    <col min="3845" max="3845" width="9.5703125" style="26" bestFit="1" customWidth="1"/>
    <col min="3846" max="3846" width="10.28515625" style="26" customWidth="1"/>
    <col min="3847" max="3847" width="9.140625" style="26" customWidth="1"/>
    <col min="3848" max="3848" width="9.28515625" style="26" customWidth="1"/>
    <col min="3849" max="3849" width="9.7109375" style="26" customWidth="1"/>
    <col min="3850" max="4096" width="9.140625" style="26"/>
    <col min="4097" max="4097" width="62.5703125" style="26" customWidth="1"/>
    <col min="4098" max="4098" width="9.7109375" style="26" customWidth="1"/>
    <col min="4099" max="4100" width="13.5703125" style="26" customWidth="1"/>
    <col min="4101" max="4101" width="9.5703125" style="26" bestFit="1" customWidth="1"/>
    <col min="4102" max="4102" width="10.28515625" style="26" customWidth="1"/>
    <col min="4103" max="4103" width="9.140625" style="26" customWidth="1"/>
    <col min="4104" max="4104" width="9.28515625" style="26" customWidth="1"/>
    <col min="4105" max="4105" width="9.7109375" style="26" customWidth="1"/>
    <col min="4106" max="4352" width="9.140625" style="26"/>
    <col min="4353" max="4353" width="62.5703125" style="26" customWidth="1"/>
    <col min="4354" max="4354" width="9.7109375" style="26" customWidth="1"/>
    <col min="4355" max="4356" width="13.5703125" style="26" customWidth="1"/>
    <col min="4357" max="4357" width="9.5703125" style="26" bestFit="1" customWidth="1"/>
    <col min="4358" max="4358" width="10.28515625" style="26" customWidth="1"/>
    <col min="4359" max="4359" width="9.140625" style="26" customWidth="1"/>
    <col min="4360" max="4360" width="9.28515625" style="26" customWidth="1"/>
    <col min="4361" max="4361" width="9.7109375" style="26" customWidth="1"/>
    <col min="4362" max="4608" width="9.140625" style="26"/>
    <col min="4609" max="4609" width="62.5703125" style="26" customWidth="1"/>
    <col min="4610" max="4610" width="9.7109375" style="26" customWidth="1"/>
    <col min="4611" max="4612" width="13.5703125" style="26" customWidth="1"/>
    <col min="4613" max="4613" width="9.5703125" style="26" bestFit="1" customWidth="1"/>
    <col min="4614" max="4614" width="10.28515625" style="26" customWidth="1"/>
    <col min="4615" max="4615" width="9.140625" style="26" customWidth="1"/>
    <col min="4616" max="4616" width="9.28515625" style="26" customWidth="1"/>
    <col min="4617" max="4617" width="9.7109375" style="26" customWidth="1"/>
    <col min="4618" max="4864" width="9.140625" style="26"/>
    <col min="4865" max="4865" width="62.5703125" style="26" customWidth="1"/>
    <col min="4866" max="4866" width="9.7109375" style="26" customWidth="1"/>
    <col min="4867" max="4868" width="13.5703125" style="26" customWidth="1"/>
    <col min="4869" max="4869" width="9.5703125" style="26" bestFit="1" customWidth="1"/>
    <col min="4870" max="4870" width="10.28515625" style="26" customWidth="1"/>
    <col min="4871" max="4871" width="9.140625" style="26" customWidth="1"/>
    <col min="4872" max="4872" width="9.28515625" style="26" customWidth="1"/>
    <col min="4873" max="4873" width="9.7109375" style="26" customWidth="1"/>
    <col min="4874" max="5120" width="9.140625" style="26"/>
    <col min="5121" max="5121" width="62.5703125" style="26" customWidth="1"/>
    <col min="5122" max="5122" width="9.7109375" style="26" customWidth="1"/>
    <col min="5123" max="5124" width="13.5703125" style="26" customWidth="1"/>
    <col min="5125" max="5125" width="9.5703125" style="26" bestFit="1" customWidth="1"/>
    <col min="5126" max="5126" width="10.28515625" style="26" customWidth="1"/>
    <col min="5127" max="5127" width="9.140625" style="26" customWidth="1"/>
    <col min="5128" max="5128" width="9.28515625" style="26" customWidth="1"/>
    <col min="5129" max="5129" width="9.7109375" style="26" customWidth="1"/>
    <col min="5130" max="5376" width="9.140625" style="26"/>
    <col min="5377" max="5377" width="62.5703125" style="26" customWidth="1"/>
    <col min="5378" max="5378" width="9.7109375" style="26" customWidth="1"/>
    <col min="5379" max="5380" width="13.5703125" style="26" customWidth="1"/>
    <col min="5381" max="5381" width="9.5703125" style="26" bestFit="1" customWidth="1"/>
    <col min="5382" max="5382" width="10.28515625" style="26" customWidth="1"/>
    <col min="5383" max="5383" width="9.140625" style="26" customWidth="1"/>
    <col min="5384" max="5384" width="9.28515625" style="26" customWidth="1"/>
    <col min="5385" max="5385" width="9.7109375" style="26" customWidth="1"/>
    <col min="5386" max="5632" width="9.140625" style="26"/>
    <col min="5633" max="5633" width="62.5703125" style="26" customWidth="1"/>
    <col min="5634" max="5634" width="9.7109375" style="26" customWidth="1"/>
    <col min="5635" max="5636" width="13.5703125" style="26" customWidth="1"/>
    <col min="5637" max="5637" width="9.5703125" style="26" bestFit="1" customWidth="1"/>
    <col min="5638" max="5638" width="10.28515625" style="26" customWidth="1"/>
    <col min="5639" max="5639" width="9.140625" style="26" customWidth="1"/>
    <col min="5640" max="5640" width="9.28515625" style="26" customWidth="1"/>
    <col min="5641" max="5641" width="9.7109375" style="26" customWidth="1"/>
    <col min="5642" max="5888" width="9.140625" style="26"/>
    <col min="5889" max="5889" width="62.5703125" style="26" customWidth="1"/>
    <col min="5890" max="5890" width="9.7109375" style="26" customWidth="1"/>
    <col min="5891" max="5892" width="13.5703125" style="26" customWidth="1"/>
    <col min="5893" max="5893" width="9.5703125" style="26" bestFit="1" customWidth="1"/>
    <col min="5894" max="5894" width="10.28515625" style="26" customWidth="1"/>
    <col min="5895" max="5895" width="9.140625" style="26" customWidth="1"/>
    <col min="5896" max="5896" width="9.28515625" style="26" customWidth="1"/>
    <col min="5897" max="5897" width="9.7109375" style="26" customWidth="1"/>
    <col min="5898" max="6144" width="9.140625" style="26"/>
    <col min="6145" max="6145" width="62.5703125" style="26" customWidth="1"/>
    <col min="6146" max="6146" width="9.7109375" style="26" customWidth="1"/>
    <col min="6147" max="6148" width="13.5703125" style="26" customWidth="1"/>
    <col min="6149" max="6149" width="9.5703125" style="26" bestFit="1" customWidth="1"/>
    <col min="6150" max="6150" width="10.28515625" style="26" customWidth="1"/>
    <col min="6151" max="6151" width="9.140625" style="26" customWidth="1"/>
    <col min="6152" max="6152" width="9.28515625" style="26" customWidth="1"/>
    <col min="6153" max="6153" width="9.7109375" style="26" customWidth="1"/>
    <col min="6154" max="6400" width="9.140625" style="26"/>
    <col min="6401" max="6401" width="62.5703125" style="26" customWidth="1"/>
    <col min="6402" max="6402" width="9.7109375" style="26" customWidth="1"/>
    <col min="6403" max="6404" width="13.5703125" style="26" customWidth="1"/>
    <col min="6405" max="6405" width="9.5703125" style="26" bestFit="1" customWidth="1"/>
    <col min="6406" max="6406" width="10.28515625" style="26" customWidth="1"/>
    <col min="6407" max="6407" width="9.140625" style="26" customWidth="1"/>
    <col min="6408" max="6408" width="9.28515625" style="26" customWidth="1"/>
    <col min="6409" max="6409" width="9.7109375" style="26" customWidth="1"/>
    <col min="6410" max="6656" width="9.140625" style="26"/>
    <col min="6657" max="6657" width="62.5703125" style="26" customWidth="1"/>
    <col min="6658" max="6658" width="9.7109375" style="26" customWidth="1"/>
    <col min="6659" max="6660" width="13.5703125" style="26" customWidth="1"/>
    <col min="6661" max="6661" width="9.5703125" style="26" bestFit="1" customWidth="1"/>
    <col min="6662" max="6662" width="10.28515625" style="26" customWidth="1"/>
    <col min="6663" max="6663" width="9.140625" style="26" customWidth="1"/>
    <col min="6664" max="6664" width="9.28515625" style="26" customWidth="1"/>
    <col min="6665" max="6665" width="9.7109375" style="26" customWidth="1"/>
    <col min="6666" max="6912" width="9.140625" style="26"/>
    <col min="6913" max="6913" width="62.5703125" style="26" customWidth="1"/>
    <col min="6914" max="6914" width="9.7109375" style="26" customWidth="1"/>
    <col min="6915" max="6916" width="13.5703125" style="26" customWidth="1"/>
    <col min="6917" max="6917" width="9.5703125" style="26" bestFit="1" customWidth="1"/>
    <col min="6918" max="6918" width="10.28515625" style="26" customWidth="1"/>
    <col min="6919" max="6919" width="9.140625" style="26" customWidth="1"/>
    <col min="6920" max="6920" width="9.28515625" style="26" customWidth="1"/>
    <col min="6921" max="6921" width="9.7109375" style="26" customWidth="1"/>
    <col min="6922" max="7168" width="9.140625" style="26"/>
    <col min="7169" max="7169" width="62.5703125" style="26" customWidth="1"/>
    <col min="7170" max="7170" width="9.7109375" style="26" customWidth="1"/>
    <col min="7171" max="7172" width="13.5703125" style="26" customWidth="1"/>
    <col min="7173" max="7173" width="9.5703125" style="26" bestFit="1" customWidth="1"/>
    <col min="7174" max="7174" width="10.28515625" style="26" customWidth="1"/>
    <col min="7175" max="7175" width="9.140625" style="26" customWidth="1"/>
    <col min="7176" max="7176" width="9.28515625" style="26" customWidth="1"/>
    <col min="7177" max="7177" width="9.7109375" style="26" customWidth="1"/>
    <col min="7178" max="7424" width="9.140625" style="26"/>
    <col min="7425" max="7425" width="62.5703125" style="26" customWidth="1"/>
    <col min="7426" max="7426" width="9.7109375" style="26" customWidth="1"/>
    <col min="7427" max="7428" width="13.5703125" style="26" customWidth="1"/>
    <col min="7429" max="7429" width="9.5703125" style="26" bestFit="1" customWidth="1"/>
    <col min="7430" max="7430" width="10.28515625" style="26" customWidth="1"/>
    <col min="7431" max="7431" width="9.140625" style="26" customWidth="1"/>
    <col min="7432" max="7432" width="9.28515625" style="26" customWidth="1"/>
    <col min="7433" max="7433" width="9.7109375" style="26" customWidth="1"/>
    <col min="7434" max="7680" width="9.140625" style="26"/>
    <col min="7681" max="7681" width="62.5703125" style="26" customWidth="1"/>
    <col min="7682" max="7682" width="9.7109375" style="26" customWidth="1"/>
    <col min="7683" max="7684" width="13.5703125" style="26" customWidth="1"/>
    <col min="7685" max="7685" width="9.5703125" style="26" bestFit="1" customWidth="1"/>
    <col min="7686" max="7686" width="10.28515625" style="26" customWidth="1"/>
    <col min="7687" max="7687" width="9.140625" style="26" customWidth="1"/>
    <col min="7688" max="7688" width="9.28515625" style="26" customWidth="1"/>
    <col min="7689" max="7689" width="9.7109375" style="26" customWidth="1"/>
    <col min="7690" max="7936" width="9.140625" style="26"/>
    <col min="7937" max="7937" width="62.5703125" style="26" customWidth="1"/>
    <col min="7938" max="7938" width="9.7109375" style="26" customWidth="1"/>
    <col min="7939" max="7940" width="13.5703125" style="26" customWidth="1"/>
    <col min="7941" max="7941" width="9.5703125" style="26" bestFit="1" customWidth="1"/>
    <col min="7942" max="7942" width="10.28515625" style="26" customWidth="1"/>
    <col min="7943" max="7943" width="9.140625" style="26" customWidth="1"/>
    <col min="7944" max="7944" width="9.28515625" style="26" customWidth="1"/>
    <col min="7945" max="7945" width="9.7109375" style="26" customWidth="1"/>
    <col min="7946" max="8192" width="9.140625" style="26"/>
    <col min="8193" max="8193" width="62.5703125" style="26" customWidth="1"/>
    <col min="8194" max="8194" width="9.7109375" style="26" customWidth="1"/>
    <col min="8195" max="8196" width="13.5703125" style="26" customWidth="1"/>
    <col min="8197" max="8197" width="9.5703125" style="26" bestFit="1" customWidth="1"/>
    <col min="8198" max="8198" width="10.28515625" style="26" customWidth="1"/>
    <col min="8199" max="8199" width="9.140625" style="26" customWidth="1"/>
    <col min="8200" max="8200" width="9.28515625" style="26" customWidth="1"/>
    <col min="8201" max="8201" width="9.7109375" style="26" customWidth="1"/>
    <col min="8202" max="8448" width="9.140625" style="26"/>
    <col min="8449" max="8449" width="62.5703125" style="26" customWidth="1"/>
    <col min="8450" max="8450" width="9.7109375" style="26" customWidth="1"/>
    <col min="8451" max="8452" width="13.5703125" style="26" customWidth="1"/>
    <col min="8453" max="8453" width="9.5703125" style="26" bestFit="1" customWidth="1"/>
    <col min="8454" max="8454" width="10.28515625" style="26" customWidth="1"/>
    <col min="8455" max="8455" width="9.140625" style="26" customWidth="1"/>
    <col min="8456" max="8456" width="9.28515625" style="26" customWidth="1"/>
    <col min="8457" max="8457" width="9.7109375" style="26" customWidth="1"/>
    <col min="8458" max="8704" width="9.140625" style="26"/>
    <col min="8705" max="8705" width="62.5703125" style="26" customWidth="1"/>
    <col min="8706" max="8706" width="9.7109375" style="26" customWidth="1"/>
    <col min="8707" max="8708" width="13.5703125" style="26" customWidth="1"/>
    <col min="8709" max="8709" width="9.5703125" style="26" bestFit="1" customWidth="1"/>
    <col min="8710" max="8710" width="10.28515625" style="26" customWidth="1"/>
    <col min="8711" max="8711" width="9.140625" style="26" customWidth="1"/>
    <col min="8712" max="8712" width="9.28515625" style="26" customWidth="1"/>
    <col min="8713" max="8713" width="9.7109375" style="26" customWidth="1"/>
    <col min="8714" max="8960" width="9.140625" style="26"/>
    <col min="8961" max="8961" width="62.5703125" style="26" customWidth="1"/>
    <col min="8962" max="8962" width="9.7109375" style="26" customWidth="1"/>
    <col min="8963" max="8964" width="13.5703125" style="26" customWidth="1"/>
    <col min="8965" max="8965" width="9.5703125" style="26" bestFit="1" customWidth="1"/>
    <col min="8966" max="8966" width="10.28515625" style="26" customWidth="1"/>
    <col min="8967" max="8967" width="9.140625" style="26" customWidth="1"/>
    <col min="8968" max="8968" width="9.28515625" style="26" customWidth="1"/>
    <col min="8969" max="8969" width="9.7109375" style="26" customWidth="1"/>
    <col min="8970" max="9216" width="9.140625" style="26"/>
    <col min="9217" max="9217" width="62.5703125" style="26" customWidth="1"/>
    <col min="9218" max="9218" width="9.7109375" style="26" customWidth="1"/>
    <col min="9219" max="9220" width="13.5703125" style="26" customWidth="1"/>
    <col min="9221" max="9221" width="9.5703125" style="26" bestFit="1" customWidth="1"/>
    <col min="9222" max="9222" width="10.28515625" style="26" customWidth="1"/>
    <col min="9223" max="9223" width="9.140625" style="26" customWidth="1"/>
    <col min="9224" max="9224" width="9.28515625" style="26" customWidth="1"/>
    <col min="9225" max="9225" width="9.7109375" style="26" customWidth="1"/>
    <col min="9226" max="9472" width="9.140625" style="26"/>
    <col min="9473" max="9473" width="62.5703125" style="26" customWidth="1"/>
    <col min="9474" max="9474" width="9.7109375" style="26" customWidth="1"/>
    <col min="9475" max="9476" width="13.5703125" style="26" customWidth="1"/>
    <col min="9477" max="9477" width="9.5703125" style="26" bestFit="1" customWidth="1"/>
    <col min="9478" max="9478" width="10.28515625" style="26" customWidth="1"/>
    <col min="9479" max="9479" width="9.140625" style="26" customWidth="1"/>
    <col min="9480" max="9480" width="9.28515625" style="26" customWidth="1"/>
    <col min="9481" max="9481" width="9.7109375" style="26" customWidth="1"/>
    <col min="9482" max="9728" width="9.140625" style="26"/>
    <col min="9729" max="9729" width="62.5703125" style="26" customWidth="1"/>
    <col min="9730" max="9730" width="9.7109375" style="26" customWidth="1"/>
    <col min="9731" max="9732" width="13.5703125" style="26" customWidth="1"/>
    <col min="9733" max="9733" width="9.5703125" style="26" bestFit="1" customWidth="1"/>
    <col min="9734" max="9734" width="10.28515625" style="26" customWidth="1"/>
    <col min="9735" max="9735" width="9.140625" style="26" customWidth="1"/>
    <col min="9736" max="9736" width="9.28515625" style="26" customWidth="1"/>
    <col min="9737" max="9737" width="9.7109375" style="26" customWidth="1"/>
    <col min="9738" max="9984" width="9.140625" style="26"/>
    <col min="9985" max="9985" width="62.5703125" style="26" customWidth="1"/>
    <col min="9986" max="9986" width="9.7109375" style="26" customWidth="1"/>
    <col min="9987" max="9988" width="13.5703125" style="26" customWidth="1"/>
    <col min="9989" max="9989" width="9.5703125" style="26" bestFit="1" customWidth="1"/>
    <col min="9990" max="9990" width="10.28515625" style="26" customWidth="1"/>
    <col min="9991" max="9991" width="9.140625" style="26" customWidth="1"/>
    <col min="9992" max="9992" width="9.28515625" style="26" customWidth="1"/>
    <col min="9993" max="9993" width="9.7109375" style="26" customWidth="1"/>
    <col min="9994" max="10240" width="9.140625" style="26"/>
    <col min="10241" max="10241" width="62.5703125" style="26" customWidth="1"/>
    <col min="10242" max="10242" width="9.7109375" style="26" customWidth="1"/>
    <col min="10243" max="10244" width="13.5703125" style="26" customWidth="1"/>
    <col min="10245" max="10245" width="9.5703125" style="26" bestFit="1" customWidth="1"/>
    <col min="10246" max="10246" width="10.28515625" style="26" customWidth="1"/>
    <col min="10247" max="10247" width="9.140625" style="26" customWidth="1"/>
    <col min="10248" max="10248" width="9.28515625" style="26" customWidth="1"/>
    <col min="10249" max="10249" width="9.7109375" style="26" customWidth="1"/>
    <col min="10250" max="10496" width="9.140625" style="26"/>
    <col min="10497" max="10497" width="62.5703125" style="26" customWidth="1"/>
    <col min="10498" max="10498" width="9.7109375" style="26" customWidth="1"/>
    <col min="10499" max="10500" width="13.5703125" style="26" customWidth="1"/>
    <col min="10501" max="10501" width="9.5703125" style="26" bestFit="1" customWidth="1"/>
    <col min="10502" max="10502" width="10.28515625" style="26" customWidth="1"/>
    <col min="10503" max="10503" width="9.140625" style="26" customWidth="1"/>
    <col min="10504" max="10504" width="9.28515625" style="26" customWidth="1"/>
    <col min="10505" max="10505" width="9.7109375" style="26" customWidth="1"/>
    <col min="10506" max="10752" width="9.140625" style="26"/>
    <col min="10753" max="10753" width="62.5703125" style="26" customWidth="1"/>
    <col min="10754" max="10754" width="9.7109375" style="26" customWidth="1"/>
    <col min="10755" max="10756" width="13.5703125" style="26" customWidth="1"/>
    <col min="10757" max="10757" width="9.5703125" style="26" bestFit="1" customWidth="1"/>
    <col min="10758" max="10758" width="10.28515625" style="26" customWidth="1"/>
    <col min="10759" max="10759" width="9.140625" style="26" customWidth="1"/>
    <col min="10760" max="10760" width="9.28515625" style="26" customWidth="1"/>
    <col min="10761" max="10761" width="9.7109375" style="26" customWidth="1"/>
    <col min="10762" max="11008" width="9.140625" style="26"/>
    <col min="11009" max="11009" width="62.5703125" style="26" customWidth="1"/>
    <col min="11010" max="11010" width="9.7109375" style="26" customWidth="1"/>
    <col min="11011" max="11012" width="13.5703125" style="26" customWidth="1"/>
    <col min="11013" max="11013" width="9.5703125" style="26" bestFit="1" customWidth="1"/>
    <col min="11014" max="11014" width="10.28515625" style="26" customWidth="1"/>
    <col min="11015" max="11015" width="9.140625" style="26" customWidth="1"/>
    <col min="11016" max="11016" width="9.28515625" style="26" customWidth="1"/>
    <col min="11017" max="11017" width="9.7109375" style="26" customWidth="1"/>
    <col min="11018" max="11264" width="9.140625" style="26"/>
    <col min="11265" max="11265" width="62.5703125" style="26" customWidth="1"/>
    <col min="11266" max="11266" width="9.7109375" style="26" customWidth="1"/>
    <col min="11267" max="11268" width="13.5703125" style="26" customWidth="1"/>
    <col min="11269" max="11269" width="9.5703125" style="26" bestFit="1" customWidth="1"/>
    <col min="11270" max="11270" width="10.28515625" style="26" customWidth="1"/>
    <col min="11271" max="11271" width="9.140625" style="26" customWidth="1"/>
    <col min="11272" max="11272" width="9.28515625" style="26" customWidth="1"/>
    <col min="11273" max="11273" width="9.7109375" style="26" customWidth="1"/>
    <col min="11274" max="11520" width="9.140625" style="26"/>
    <col min="11521" max="11521" width="62.5703125" style="26" customWidth="1"/>
    <col min="11522" max="11522" width="9.7109375" style="26" customWidth="1"/>
    <col min="11523" max="11524" width="13.5703125" style="26" customWidth="1"/>
    <col min="11525" max="11525" width="9.5703125" style="26" bestFit="1" customWidth="1"/>
    <col min="11526" max="11526" width="10.28515625" style="26" customWidth="1"/>
    <col min="11527" max="11527" width="9.140625" style="26" customWidth="1"/>
    <col min="11528" max="11528" width="9.28515625" style="26" customWidth="1"/>
    <col min="11529" max="11529" width="9.7109375" style="26" customWidth="1"/>
    <col min="11530" max="11776" width="9.140625" style="26"/>
    <col min="11777" max="11777" width="62.5703125" style="26" customWidth="1"/>
    <col min="11778" max="11778" width="9.7109375" style="26" customWidth="1"/>
    <col min="11779" max="11780" width="13.5703125" style="26" customWidth="1"/>
    <col min="11781" max="11781" width="9.5703125" style="26" bestFit="1" customWidth="1"/>
    <col min="11782" max="11782" width="10.28515625" style="26" customWidth="1"/>
    <col min="11783" max="11783" width="9.140625" style="26" customWidth="1"/>
    <col min="11784" max="11784" width="9.28515625" style="26" customWidth="1"/>
    <col min="11785" max="11785" width="9.7109375" style="26" customWidth="1"/>
    <col min="11786" max="12032" width="9.140625" style="26"/>
    <col min="12033" max="12033" width="62.5703125" style="26" customWidth="1"/>
    <col min="12034" max="12034" width="9.7109375" style="26" customWidth="1"/>
    <col min="12035" max="12036" width="13.5703125" style="26" customWidth="1"/>
    <col min="12037" max="12037" width="9.5703125" style="26" bestFit="1" customWidth="1"/>
    <col min="12038" max="12038" width="10.28515625" style="26" customWidth="1"/>
    <col min="12039" max="12039" width="9.140625" style="26" customWidth="1"/>
    <col min="12040" max="12040" width="9.28515625" style="26" customWidth="1"/>
    <col min="12041" max="12041" width="9.7109375" style="26" customWidth="1"/>
    <col min="12042" max="12288" width="9.140625" style="26"/>
    <col min="12289" max="12289" width="62.5703125" style="26" customWidth="1"/>
    <col min="12290" max="12290" width="9.7109375" style="26" customWidth="1"/>
    <col min="12291" max="12292" width="13.5703125" style="26" customWidth="1"/>
    <col min="12293" max="12293" width="9.5703125" style="26" bestFit="1" customWidth="1"/>
    <col min="12294" max="12294" width="10.28515625" style="26" customWidth="1"/>
    <col min="12295" max="12295" width="9.140625" style="26" customWidth="1"/>
    <col min="12296" max="12296" width="9.28515625" style="26" customWidth="1"/>
    <col min="12297" max="12297" width="9.7109375" style="26" customWidth="1"/>
    <col min="12298" max="12544" width="9.140625" style="26"/>
    <col min="12545" max="12545" width="62.5703125" style="26" customWidth="1"/>
    <col min="12546" max="12546" width="9.7109375" style="26" customWidth="1"/>
    <col min="12547" max="12548" width="13.5703125" style="26" customWidth="1"/>
    <col min="12549" max="12549" width="9.5703125" style="26" bestFit="1" customWidth="1"/>
    <col min="12550" max="12550" width="10.28515625" style="26" customWidth="1"/>
    <col min="12551" max="12551" width="9.140625" style="26" customWidth="1"/>
    <col min="12552" max="12552" width="9.28515625" style="26" customWidth="1"/>
    <col min="12553" max="12553" width="9.7109375" style="26" customWidth="1"/>
    <col min="12554" max="12800" width="9.140625" style="26"/>
    <col min="12801" max="12801" width="62.5703125" style="26" customWidth="1"/>
    <col min="12802" max="12802" width="9.7109375" style="26" customWidth="1"/>
    <col min="12803" max="12804" width="13.5703125" style="26" customWidth="1"/>
    <col min="12805" max="12805" width="9.5703125" style="26" bestFit="1" customWidth="1"/>
    <col min="12806" max="12806" width="10.28515625" style="26" customWidth="1"/>
    <col min="12807" max="12807" width="9.140625" style="26" customWidth="1"/>
    <col min="12808" max="12808" width="9.28515625" style="26" customWidth="1"/>
    <col min="12809" max="12809" width="9.7109375" style="26" customWidth="1"/>
    <col min="12810" max="13056" width="9.140625" style="26"/>
    <col min="13057" max="13057" width="62.5703125" style="26" customWidth="1"/>
    <col min="13058" max="13058" width="9.7109375" style="26" customWidth="1"/>
    <col min="13059" max="13060" width="13.5703125" style="26" customWidth="1"/>
    <col min="13061" max="13061" width="9.5703125" style="26" bestFit="1" customWidth="1"/>
    <col min="13062" max="13062" width="10.28515625" style="26" customWidth="1"/>
    <col min="13063" max="13063" width="9.140625" style="26" customWidth="1"/>
    <col min="13064" max="13064" width="9.28515625" style="26" customWidth="1"/>
    <col min="13065" max="13065" width="9.7109375" style="26" customWidth="1"/>
    <col min="13066" max="13312" width="9.140625" style="26"/>
    <col min="13313" max="13313" width="62.5703125" style="26" customWidth="1"/>
    <col min="13314" max="13314" width="9.7109375" style="26" customWidth="1"/>
    <col min="13315" max="13316" width="13.5703125" style="26" customWidth="1"/>
    <col min="13317" max="13317" width="9.5703125" style="26" bestFit="1" customWidth="1"/>
    <col min="13318" max="13318" width="10.28515625" style="26" customWidth="1"/>
    <col min="13319" max="13319" width="9.140625" style="26" customWidth="1"/>
    <col min="13320" max="13320" width="9.28515625" style="26" customWidth="1"/>
    <col min="13321" max="13321" width="9.7109375" style="26" customWidth="1"/>
    <col min="13322" max="13568" width="9.140625" style="26"/>
    <col min="13569" max="13569" width="62.5703125" style="26" customWidth="1"/>
    <col min="13570" max="13570" width="9.7109375" style="26" customWidth="1"/>
    <col min="13571" max="13572" width="13.5703125" style="26" customWidth="1"/>
    <col min="13573" max="13573" width="9.5703125" style="26" bestFit="1" customWidth="1"/>
    <col min="13574" max="13574" width="10.28515625" style="26" customWidth="1"/>
    <col min="13575" max="13575" width="9.140625" style="26" customWidth="1"/>
    <col min="13576" max="13576" width="9.28515625" style="26" customWidth="1"/>
    <col min="13577" max="13577" width="9.7109375" style="26" customWidth="1"/>
    <col min="13578" max="13824" width="9.140625" style="26"/>
    <col min="13825" max="13825" width="62.5703125" style="26" customWidth="1"/>
    <col min="13826" max="13826" width="9.7109375" style="26" customWidth="1"/>
    <col min="13827" max="13828" width="13.5703125" style="26" customWidth="1"/>
    <col min="13829" max="13829" width="9.5703125" style="26" bestFit="1" customWidth="1"/>
    <col min="13830" max="13830" width="10.28515625" style="26" customWidth="1"/>
    <col min="13831" max="13831" width="9.140625" style="26" customWidth="1"/>
    <col min="13832" max="13832" width="9.28515625" style="26" customWidth="1"/>
    <col min="13833" max="13833" width="9.7109375" style="26" customWidth="1"/>
    <col min="13834" max="14080" width="9.140625" style="26"/>
    <col min="14081" max="14081" width="62.5703125" style="26" customWidth="1"/>
    <col min="14082" max="14082" width="9.7109375" style="26" customWidth="1"/>
    <col min="14083" max="14084" width="13.5703125" style="26" customWidth="1"/>
    <col min="14085" max="14085" width="9.5703125" style="26" bestFit="1" customWidth="1"/>
    <col min="14086" max="14086" width="10.28515625" style="26" customWidth="1"/>
    <col min="14087" max="14087" width="9.140625" style="26" customWidth="1"/>
    <col min="14088" max="14088" width="9.28515625" style="26" customWidth="1"/>
    <col min="14089" max="14089" width="9.7109375" style="26" customWidth="1"/>
    <col min="14090" max="14336" width="9.140625" style="26"/>
    <col min="14337" max="14337" width="62.5703125" style="26" customWidth="1"/>
    <col min="14338" max="14338" width="9.7109375" style="26" customWidth="1"/>
    <col min="14339" max="14340" width="13.5703125" style="26" customWidth="1"/>
    <col min="14341" max="14341" width="9.5703125" style="26" bestFit="1" customWidth="1"/>
    <col min="14342" max="14342" width="10.28515625" style="26" customWidth="1"/>
    <col min="14343" max="14343" width="9.140625" style="26" customWidth="1"/>
    <col min="14344" max="14344" width="9.28515625" style="26" customWidth="1"/>
    <col min="14345" max="14345" width="9.7109375" style="26" customWidth="1"/>
    <col min="14346" max="14592" width="9.140625" style="26"/>
    <col min="14593" max="14593" width="62.5703125" style="26" customWidth="1"/>
    <col min="14594" max="14594" width="9.7109375" style="26" customWidth="1"/>
    <col min="14595" max="14596" width="13.5703125" style="26" customWidth="1"/>
    <col min="14597" max="14597" width="9.5703125" style="26" bestFit="1" customWidth="1"/>
    <col min="14598" max="14598" width="10.28515625" style="26" customWidth="1"/>
    <col min="14599" max="14599" width="9.140625" style="26" customWidth="1"/>
    <col min="14600" max="14600" width="9.28515625" style="26" customWidth="1"/>
    <col min="14601" max="14601" width="9.7109375" style="26" customWidth="1"/>
    <col min="14602" max="14848" width="9.140625" style="26"/>
    <col min="14849" max="14849" width="62.5703125" style="26" customWidth="1"/>
    <col min="14850" max="14850" width="9.7109375" style="26" customWidth="1"/>
    <col min="14851" max="14852" width="13.5703125" style="26" customWidth="1"/>
    <col min="14853" max="14853" width="9.5703125" style="26" bestFit="1" customWidth="1"/>
    <col min="14854" max="14854" width="10.28515625" style="26" customWidth="1"/>
    <col min="14855" max="14855" width="9.140625" style="26" customWidth="1"/>
    <col min="14856" max="14856" width="9.28515625" style="26" customWidth="1"/>
    <col min="14857" max="14857" width="9.7109375" style="26" customWidth="1"/>
    <col min="14858" max="15104" width="9.140625" style="26"/>
    <col min="15105" max="15105" width="62.5703125" style="26" customWidth="1"/>
    <col min="15106" max="15106" width="9.7109375" style="26" customWidth="1"/>
    <col min="15107" max="15108" width="13.5703125" style="26" customWidth="1"/>
    <col min="15109" max="15109" width="9.5703125" style="26" bestFit="1" customWidth="1"/>
    <col min="15110" max="15110" width="10.28515625" style="26" customWidth="1"/>
    <col min="15111" max="15111" width="9.140625" style="26" customWidth="1"/>
    <col min="15112" max="15112" width="9.28515625" style="26" customWidth="1"/>
    <col min="15113" max="15113" width="9.7109375" style="26" customWidth="1"/>
    <col min="15114" max="15360" width="9.140625" style="26"/>
    <col min="15361" max="15361" width="62.5703125" style="26" customWidth="1"/>
    <col min="15362" max="15362" width="9.7109375" style="26" customWidth="1"/>
    <col min="15363" max="15364" width="13.5703125" style="26" customWidth="1"/>
    <col min="15365" max="15365" width="9.5703125" style="26" bestFit="1" customWidth="1"/>
    <col min="15366" max="15366" width="10.28515625" style="26" customWidth="1"/>
    <col min="15367" max="15367" width="9.140625" style="26" customWidth="1"/>
    <col min="15368" max="15368" width="9.28515625" style="26" customWidth="1"/>
    <col min="15369" max="15369" width="9.7109375" style="26" customWidth="1"/>
    <col min="15370" max="15616" width="9.140625" style="26"/>
    <col min="15617" max="15617" width="62.5703125" style="26" customWidth="1"/>
    <col min="15618" max="15618" width="9.7109375" style="26" customWidth="1"/>
    <col min="15619" max="15620" width="13.5703125" style="26" customWidth="1"/>
    <col min="15621" max="15621" width="9.5703125" style="26" bestFit="1" customWidth="1"/>
    <col min="15622" max="15622" width="10.28515625" style="26" customWidth="1"/>
    <col min="15623" max="15623" width="9.140625" style="26" customWidth="1"/>
    <col min="15624" max="15624" width="9.28515625" style="26" customWidth="1"/>
    <col min="15625" max="15625" width="9.7109375" style="26" customWidth="1"/>
    <col min="15626" max="15872" width="9.140625" style="26"/>
    <col min="15873" max="15873" width="62.5703125" style="26" customWidth="1"/>
    <col min="15874" max="15874" width="9.7109375" style="26" customWidth="1"/>
    <col min="15875" max="15876" width="13.5703125" style="26" customWidth="1"/>
    <col min="15877" max="15877" width="9.5703125" style="26" bestFit="1" customWidth="1"/>
    <col min="15878" max="15878" width="10.28515625" style="26" customWidth="1"/>
    <col min="15879" max="15879" width="9.140625" style="26" customWidth="1"/>
    <col min="15880" max="15880" width="9.28515625" style="26" customWidth="1"/>
    <col min="15881" max="15881" width="9.7109375" style="26" customWidth="1"/>
    <col min="15882" max="16128" width="9.140625" style="26"/>
    <col min="16129" max="16129" width="62.5703125" style="26" customWidth="1"/>
    <col min="16130" max="16130" width="9.7109375" style="26" customWidth="1"/>
    <col min="16131" max="16132" width="13.5703125" style="26" customWidth="1"/>
    <col min="16133" max="16133" width="9.5703125" style="26" bestFit="1" customWidth="1"/>
    <col min="16134" max="16134" width="10.28515625" style="26" customWidth="1"/>
    <col min="16135" max="16135" width="9.140625" style="26" customWidth="1"/>
    <col min="16136" max="16136" width="9.28515625" style="26" customWidth="1"/>
    <col min="16137" max="16137" width="9.7109375" style="26" customWidth="1"/>
    <col min="16138" max="16384" width="9.140625" style="26"/>
  </cols>
  <sheetData>
    <row r="1" spans="1:10" ht="15" x14ac:dyDescent="0.25">
      <c r="B1" s="1" t="s">
        <v>572</v>
      </c>
      <c r="C1" s="1"/>
      <c r="D1" s="1"/>
      <c r="E1" s="1"/>
    </row>
    <row r="2" spans="1:10" ht="21" thickBot="1" x14ac:dyDescent="0.35">
      <c r="A2" s="1035" t="s">
        <v>601</v>
      </c>
      <c r="B2" s="1035"/>
      <c r="C2" s="1035"/>
      <c r="D2" s="840"/>
      <c r="E2" s="25"/>
      <c r="G2" s="485"/>
      <c r="H2" s="485"/>
    </row>
    <row r="3" spans="1:10" ht="48.75" customHeight="1" thickBot="1" x14ac:dyDescent="0.35">
      <c r="A3" s="27" t="s">
        <v>29</v>
      </c>
      <c r="B3" s="771" t="s">
        <v>7</v>
      </c>
      <c r="C3" s="772" t="s">
        <v>524</v>
      </c>
      <c r="D3" s="480"/>
      <c r="E3" s="486"/>
      <c r="F3" s="487"/>
      <c r="G3" s="488"/>
      <c r="H3" s="111"/>
      <c r="I3" s="111"/>
      <c r="J3" s="570"/>
    </row>
    <row r="4" spans="1:10" s="31" customFormat="1" ht="30" x14ac:dyDescent="0.25">
      <c r="A4" s="451" t="s">
        <v>610</v>
      </c>
      <c r="B4" s="33">
        <v>2200</v>
      </c>
      <c r="C4" s="429">
        <v>15000</v>
      </c>
      <c r="D4" s="490"/>
      <c r="F4" s="491"/>
      <c r="G4" s="489"/>
      <c r="H4" s="489"/>
      <c r="I4" s="492"/>
    </row>
    <row r="5" spans="1:10" s="31" customFormat="1" ht="30" x14ac:dyDescent="0.25">
      <c r="A5" s="473" t="s">
        <v>611</v>
      </c>
      <c r="B5" s="33">
        <v>5100</v>
      </c>
      <c r="C5" s="429">
        <v>30770</v>
      </c>
      <c r="D5" s="490"/>
      <c r="F5" s="491"/>
      <c r="G5" s="489"/>
      <c r="H5" s="489"/>
      <c r="I5" s="492"/>
    </row>
    <row r="6" spans="1:10" s="32" customFormat="1" ht="16.5" thickBot="1" x14ac:dyDescent="0.3">
      <c r="A6" s="452" t="s">
        <v>612</v>
      </c>
      <c r="B6" s="279">
        <v>5200</v>
      </c>
      <c r="C6" s="430">
        <v>30250</v>
      </c>
      <c r="D6" s="490"/>
      <c r="E6" s="493"/>
      <c r="F6" s="494"/>
      <c r="I6" s="492"/>
    </row>
    <row r="7" spans="1:10" ht="16.5" thickBot="1" x14ac:dyDescent="0.3">
      <c r="A7" s="34" t="s">
        <v>30</v>
      </c>
      <c r="B7" s="20"/>
      <c r="C7" s="893">
        <f>SUM(C4:C6)</f>
        <v>76020</v>
      </c>
      <c r="D7" s="495"/>
      <c r="E7" s="496"/>
      <c r="F7" s="497"/>
      <c r="G7" s="497"/>
      <c r="H7" s="433"/>
      <c r="I7" s="433"/>
    </row>
    <row r="8" spans="1:10" ht="15.75" x14ac:dyDescent="0.25">
      <c r="A8" s="46"/>
      <c r="B8" s="36"/>
      <c r="C8" s="35"/>
      <c r="D8" s="35"/>
      <c r="E8" s="498"/>
      <c r="F8" s="499"/>
      <c r="I8" s="500"/>
    </row>
    <row r="9" spans="1:10" ht="21" thickBot="1" x14ac:dyDescent="0.35">
      <c r="A9" s="1036" t="s">
        <v>369</v>
      </c>
      <c r="B9" s="1036"/>
      <c r="C9" s="1036"/>
      <c r="D9" s="501"/>
      <c r="E9" s="502"/>
      <c r="F9" s="498"/>
      <c r="I9" s="500"/>
    </row>
    <row r="10" spans="1:10" ht="48.75" customHeight="1" thickBot="1" x14ac:dyDescent="0.35">
      <c r="A10" s="27" t="s">
        <v>29</v>
      </c>
      <c r="B10" s="771" t="s">
        <v>7</v>
      </c>
      <c r="C10" s="772" t="s">
        <v>524</v>
      </c>
      <c r="D10" s="503"/>
      <c r="E10" s="504"/>
      <c r="F10" s="504"/>
      <c r="G10" s="29"/>
      <c r="H10" s="111"/>
      <c r="I10" s="111"/>
      <c r="J10" s="570"/>
    </row>
    <row r="11" spans="1:10" ht="31.5" x14ac:dyDescent="0.25">
      <c r="A11" s="295" t="s">
        <v>495</v>
      </c>
      <c r="B11" s="38">
        <v>2200</v>
      </c>
      <c r="C11" s="22">
        <f>150000+50820</f>
        <v>200820</v>
      </c>
      <c r="D11" s="505"/>
      <c r="E11" s="506"/>
      <c r="F11" s="507"/>
      <c r="G11" s="508"/>
      <c r="I11" s="509"/>
    </row>
    <row r="12" spans="1:10" ht="15.75" x14ac:dyDescent="0.25">
      <c r="A12" s="30" t="s">
        <v>31</v>
      </c>
      <c r="B12" s="17">
        <v>2200</v>
      </c>
      <c r="C12" s="22">
        <v>290000</v>
      </c>
      <c r="D12" s="505"/>
      <c r="E12" s="506"/>
      <c r="F12" s="510"/>
      <c r="G12" s="492"/>
      <c r="I12" s="509"/>
    </row>
    <row r="13" spans="1:10" ht="31.5" x14ac:dyDescent="0.25">
      <c r="A13" s="30" t="s">
        <v>268</v>
      </c>
      <c r="B13" s="17">
        <v>5200</v>
      </c>
      <c r="C13" s="22">
        <v>103745</v>
      </c>
      <c r="D13" s="511"/>
      <c r="E13" s="506"/>
      <c r="F13" s="507"/>
      <c r="G13" s="492"/>
      <c r="I13" s="509"/>
    </row>
    <row r="14" spans="1:10" ht="15.75" x14ac:dyDescent="0.25">
      <c r="A14" s="30" t="s">
        <v>269</v>
      </c>
      <c r="B14" s="17">
        <v>2200</v>
      </c>
      <c r="C14" s="22">
        <v>70524</v>
      </c>
      <c r="D14" s="511"/>
      <c r="E14" s="506"/>
      <c r="F14" s="507"/>
      <c r="G14" s="492"/>
      <c r="I14" s="509"/>
    </row>
    <row r="15" spans="1:10" ht="15.75" x14ac:dyDescent="0.25">
      <c r="A15" s="30" t="s">
        <v>270</v>
      </c>
      <c r="B15" s="17">
        <v>2200</v>
      </c>
      <c r="C15" s="429">
        <v>35000</v>
      </c>
      <c r="D15" s="511"/>
      <c r="E15" s="499"/>
      <c r="F15" s="512"/>
      <c r="I15" s="509"/>
    </row>
    <row r="16" spans="1:10" ht="16.5" thickBot="1" x14ac:dyDescent="0.3">
      <c r="A16" s="30" t="s">
        <v>191</v>
      </c>
      <c r="B16" s="17">
        <v>2200</v>
      </c>
      <c r="C16" s="296">
        <v>5000</v>
      </c>
      <c r="D16" s="513"/>
      <c r="E16" s="514"/>
      <c r="F16" s="507"/>
      <c r="G16" s="515"/>
      <c r="H16" s="515"/>
      <c r="I16" s="516"/>
    </row>
    <row r="17" spans="1:10" ht="16.5" thickBot="1" x14ac:dyDescent="0.3">
      <c r="A17" s="40" t="s">
        <v>30</v>
      </c>
      <c r="B17" s="20"/>
      <c r="C17" s="41">
        <f>SUM(C11:C16)</f>
        <v>705089</v>
      </c>
      <c r="D17" s="517"/>
      <c r="E17" s="499"/>
      <c r="F17" s="499"/>
      <c r="G17" s="35"/>
      <c r="I17" s="522"/>
    </row>
    <row r="18" spans="1:10" ht="15.75" hidden="1" x14ac:dyDescent="0.25">
      <c r="A18" s="46"/>
      <c r="B18" s="36"/>
      <c r="C18" s="35"/>
      <c r="D18" s="35"/>
      <c r="E18" s="499"/>
      <c r="F18" s="499"/>
      <c r="G18" s="35"/>
      <c r="I18" s="500"/>
    </row>
    <row r="19" spans="1:10" ht="15.75" hidden="1" x14ac:dyDescent="0.25">
      <c r="A19" s="46"/>
      <c r="B19" s="36"/>
      <c r="C19" s="35"/>
      <c r="D19" s="35"/>
      <c r="E19" s="499"/>
      <c r="F19" s="499"/>
      <c r="G19" s="35"/>
      <c r="I19" s="500"/>
    </row>
    <row r="20" spans="1:10" ht="21" hidden="1" thickBot="1" x14ac:dyDescent="0.35">
      <c r="A20" s="1037" t="s">
        <v>146</v>
      </c>
      <c r="B20" s="1037"/>
      <c r="C20" s="1037"/>
      <c r="D20" s="35"/>
      <c r="E20" s="499"/>
      <c r="F20" s="499"/>
      <c r="G20" s="35"/>
      <c r="I20" s="500"/>
    </row>
    <row r="21" spans="1:10" ht="38.25" hidden="1" thickBot="1" x14ac:dyDescent="0.35">
      <c r="A21" s="27" t="s">
        <v>29</v>
      </c>
      <c r="B21" s="28" t="s">
        <v>7</v>
      </c>
      <c r="C21" s="37" t="s">
        <v>124</v>
      </c>
      <c r="D21" s="503"/>
      <c r="E21" s="504"/>
      <c r="F21" s="504"/>
      <c r="G21" s="35"/>
      <c r="I21" s="500"/>
    </row>
    <row r="22" spans="1:10" ht="16.5" hidden="1" thickBot="1" x14ac:dyDescent="0.3">
      <c r="A22" s="50" t="s">
        <v>147</v>
      </c>
      <c r="B22" s="51">
        <v>5214</v>
      </c>
      <c r="C22" s="52"/>
      <c r="D22" s="35"/>
      <c r="E22" s="499"/>
      <c r="F22" s="499"/>
      <c r="G22" s="35"/>
      <c r="I22" s="500"/>
    </row>
    <row r="23" spans="1:10" ht="15.75" hidden="1" x14ac:dyDescent="0.25">
      <c r="A23" s="47" t="s">
        <v>156</v>
      </c>
      <c r="B23" s="48"/>
      <c r="C23" s="49">
        <v>4271</v>
      </c>
      <c r="D23" s="35"/>
      <c r="E23" s="498"/>
      <c r="F23" s="499"/>
      <c r="G23" s="35"/>
      <c r="I23" s="500"/>
    </row>
    <row r="24" spans="1:10" ht="15.75" x14ac:dyDescent="0.25">
      <c r="A24" s="46"/>
      <c r="B24" s="36"/>
      <c r="C24" s="35"/>
      <c r="D24" s="35"/>
      <c r="E24" s="498"/>
      <c r="F24" s="499"/>
      <c r="G24" s="35"/>
      <c r="I24" s="500"/>
    </row>
    <row r="25" spans="1:10" ht="19.5" thickBot="1" x14ac:dyDescent="0.35">
      <c r="A25" s="1036" t="s">
        <v>600</v>
      </c>
      <c r="B25" s="1036"/>
      <c r="C25" s="1036"/>
      <c r="D25" s="35"/>
      <c r="E25" s="498"/>
      <c r="F25" s="499"/>
      <c r="G25" s="35"/>
      <c r="I25" s="500"/>
    </row>
    <row r="26" spans="1:10" ht="48.75" thickBot="1" x14ac:dyDescent="0.35">
      <c r="A26" s="27" t="s">
        <v>29</v>
      </c>
      <c r="B26" s="771" t="s">
        <v>7</v>
      </c>
      <c r="C26" s="772" t="s">
        <v>524</v>
      </c>
      <c r="D26" s="35"/>
      <c r="E26" s="498"/>
      <c r="F26" s="499"/>
      <c r="G26" s="35"/>
      <c r="I26" s="500"/>
    </row>
    <row r="27" spans="1:10" ht="32.25" thickBot="1" x14ac:dyDescent="0.3">
      <c r="A27" s="295" t="s">
        <v>583</v>
      </c>
      <c r="B27" s="38">
        <v>3200</v>
      </c>
      <c r="C27" s="22">
        <v>62884</v>
      </c>
      <c r="D27" s="35"/>
      <c r="E27" s="498"/>
      <c r="F27" s="499"/>
      <c r="G27" s="35"/>
      <c r="I27" s="500"/>
    </row>
    <row r="28" spans="1:10" ht="16.5" thickBot="1" x14ac:dyDescent="0.3">
      <c r="A28" s="40" t="s">
        <v>30</v>
      </c>
      <c r="B28" s="20"/>
      <c r="C28" s="41">
        <f>SUM(C27)</f>
        <v>62884</v>
      </c>
      <c r="D28" s="35"/>
      <c r="E28" s="498"/>
      <c r="F28" s="499"/>
      <c r="G28" s="35"/>
      <c r="I28" s="500"/>
    </row>
    <row r="29" spans="1:10" ht="15.75" x14ac:dyDescent="0.25">
      <c r="A29" s="46"/>
      <c r="B29" s="36"/>
      <c r="C29" s="35"/>
      <c r="D29" s="35"/>
      <c r="E29" s="498"/>
      <c r="F29" s="499"/>
      <c r="G29" s="35"/>
      <c r="I29" s="500"/>
    </row>
    <row r="30" spans="1:10" ht="21" thickBot="1" x14ac:dyDescent="0.35">
      <c r="A30" s="1036" t="s">
        <v>451</v>
      </c>
      <c r="B30" s="1036"/>
      <c r="C30" s="1036"/>
      <c r="D30" s="501"/>
      <c r="E30" s="502"/>
      <c r="F30" s="518"/>
      <c r="G30" s="16"/>
      <c r="I30" s="500"/>
    </row>
    <row r="31" spans="1:10" ht="48.75" thickBot="1" x14ac:dyDescent="0.35">
      <c r="A31" s="27" t="s">
        <v>29</v>
      </c>
      <c r="B31" s="771" t="s">
        <v>7</v>
      </c>
      <c r="C31" s="772" t="s">
        <v>524</v>
      </c>
      <c r="D31" s="503"/>
      <c r="E31" s="504"/>
      <c r="F31" s="504"/>
      <c r="G31" s="519"/>
      <c r="H31" s="111"/>
      <c r="I31" s="111"/>
      <c r="J31" s="570"/>
    </row>
    <row r="32" spans="1:10" ht="15.75" x14ac:dyDescent="0.25">
      <c r="A32" s="42" t="s">
        <v>271</v>
      </c>
      <c r="B32" s="17">
        <v>2200</v>
      </c>
      <c r="C32" s="260">
        <v>100</v>
      </c>
      <c r="D32" s="511"/>
      <c r="E32" s="521"/>
      <c r="F32" s="512"/>
      <c r="G32" s="522"/>
      <c r="H32" s="520"/>
      <c r="I32" s="523"/>
    </row>
    <row r="33" spans="1:12" ht="15.75" x14ac:dyDescent="0.25">
      <c r="A33" s="24" t="s">
        <v>272</v>
      </c>
      <c r="B33" s="17">
        <v>2200</v>
      </c>
      <c r="C33" s="260">
        <v>6000</v>
      </c>
      <c r="D33" s="511"/>
      <c r="E33" s="521"/>
      <c r="F33" s="512"/>
      <c r="G33" s="522"/>
      <c r="H33" s="520"/>
      <c r="I33" s="523"/>
    </row>
    <row r="34" spans="1:12" ht="32.25" thickBot="1" x14ac:dyDescent="0.3">
      <c r="A34" s="398" t="s">
        <v>471</v>
      </c>
      <c r="B34" s="17">
        <v>2200</v>
      </c>
      <c r="C34" s="432">
        <v>4356</v>
      </c>
      <c r="D34" s="511"/>
      <c r="E34" s="521"/>
      <c r="F34" s="512"/>
      <c r="G34" s="522"/>
      <c r="H34" s="520"/>
      <c r="I34" s="433"/>
    </row>
    <row r="35" spans="1:12" ht="16.5" thickBot="1" x14ac:dyDescent="0.3">
      <c r="A35" s="43" t="s">
        <v>30</v>
      </c>
      <c r="B35" s="20"/>
      <c r="C35" s="431">
        <f>SUM(C32:C34)</f>
        <v>10456</v>
      </c>
      <c r="D35" s="524"/>
      <c r="E35" s="497"/>
      <c r="F35" s="497"/>
      <c r="G35" s="496"/>
      <c r="H35" s="15"/>
      <c r="I35" s="491"/>
      <c r="J35" s="433"/>
    </row>
    <row r="37" spans="1:12" ht="38.25" customHeight="1" thickBot="1" x14ac:dyDescent="0.35">
      <c r="A37" s="1034" t="s">
        <v>574</v>
      </c>
      <c r="B37" s="1034"/>
      <c r="C37" s="1034"/>
      <c r="D37" s="504"/>
      <c r="E37" s="504"/>
      <c r="F37" s="504"/>
      <c r="G37" s="1"/>
    </row>
    <row r="38" spans="1:12" ht="44.25" thickBot="1" x14ac:dyDescent="0.3">
      <c r="A38" s="773" t="s">
        <v>46</v>
      </c>
      <c r="B38" s="774" t="s">
        <v>7</v>
      </c>
      <c r="C38" s="775" t="s">
        <v>575</v>
      </c>
      <c r="D38" s="480"/>
      <c r="E38" s="525"/>
      <c r="F38" s="525"/>
      <c r="G38" s="1"/>
      <c r="H38" s="111"/>
      <c r="I38" s="111"/>
      <c r="J38" s="570"/>
    </row>
    <row r="39" spans="1:12" ht="15" x14ac:dyDescent="0.25">
      <c r="A39" s="233" t="s">
        <v>273</v>
      </c>
      <c r="B39" s="229">
        <v>2300</v>
      </c>
      <c r="C39" s="21">
        <v>6200</v>
      </c>
      <c r="D39" s="526" t="s">
        <v>453</v>
      </c>
      <c r="E39" s="527"/>
      <c r="F39" s="528"/>
      <c r="I39" s="433"/>
      <c r="J39" s="491"/>
      <c r="L39" s="491"/>
    </row>
    <row r="40" spans="1:12" ht="15" customHeight="1" x14ac:dyDescent="0.25">
      <c r="A40" s="233" t="s">
        <v>631</v>
      </c>
      <c r="B40" s="229">
        <v>2300</v>
      </c>
      <c r="C40" s="21">
        <v>9500</v>
      </c>
      <c r="D40" s="526"/>
      <c r="E40" s="527"/>
      <c r="F40" s="528"/>
      <c r="I40" s="433"/>
      <c r="J40" s="491"/>
      <c r="L40" s="491"/>
    </row>
    <row r="41" spans="1:12" ht="15" x14ac:dyDescent="0.25">
      <c r="A41" s="453" t="s">
        <v>498</v>
      </c>
      <c r="B41" s="229">
        <v>5200</v>
      </c>
      <c r="C41" s="21">
        <v>14000</v>
      </c>
      <c r="D41" s="529"/>
      <c r="E41" s="566"/>
      <c r="F41" s="530"/>
      <c r="G41" s="528"/>
      <c r="I41" s="433"/>
      <c r="J41" s="491"/>
      <c r="L41" s="491"/>
    </row>
    <row r="42" spans="1:12" ht="30" x14ac:dyDescent="0.25">
      <c r="A42" s="233" t="s">
        <v>472</v>
      </c>
      <c r="B42" s="229">
        <v>5200</v>
      </c>
      <c r="C42" s="21">
        <v>36300</v>
      </c>
      <c r="D42" s="529"/>
      <c r="E42" s="567"/>
      <c r="F42" s="530"/>
      <c r="G42" s="528"/>
      <c r="I42" s="433"/>
      <c r="J42" s="491"/>
      <c r="L42" s="491"/>
    </row>
    <row r="43" spans="1:12" ht="15" x14ac:dyDescent="0.25">
      <c r="A43" s="45" t="s">
        <v>274</v>
      </c>
      <c r="B43" s="229">
        <v>2200</v>
      </c>
      <c r="C43" s="21">
        <f>9680+8470+2178</f>
        <v>20328</v>
      </c>
      <c r="D43" s="529"/>
      <c r="E43" s="559"/>
      <c r="F43" s="528"/>
      <c r="G43" s="515"/>
      <c r="H43" s="515"/>
      <c r="I43" s="433"/>
      <c r="J43" s="491"/>
      <c r="L43" s="491"/>
    </row>
    <row r="44" spans="1:12" ht="15" x14ac:dyDescent="0.25">
      <c r="A44" s="451" t="s">
        <v>604</v>
      </c>
      <c r="B44" s="229">
        <v>5200</v>
      </c>
      <c r="C44" s="21">
        <f>45000-600</f>
        <v>44400</v>
      </c>
      <c r="D44" s="529"/>
      <c r="E44" s="568"/>
      <c r="F44" s="528"/>
      <c r="G44" s="530"/>
      <c r="H44" s="531"/>
      <c r="I44" s="433"/>
      <c r="L44" s="536"/>
    </row>
    <row r="45" spans="1:12" ht="15" x14ac:dyDescent="0.25">
      <c r="A45" s="558" t="s">
        <v>630</v>
      </c>
      <c r="B45" s="229">
        <v>5200</v>
      </c>
      <c r="C45" s="21">
        <v>15000</v>
      </c>
      <c r="D45" s="529"/>
      <c r="E45" s="568"/>
      <c r="F45" s="528"/>
      <c r="G45" s="530"/>
      <c r="H45" s="531"/>
      <c r="I45" s="433"/>
      <c r="L45" s="536"/>
    </row>
    <row r="46" spans="1:12" ht="31.5" x14ac:dyDescent="0.25">
      <c r="A46" s="30" t="s">
        <v>494</v>
      </c>
      <c r="B46" s="229">
        <v>5200</v>
      </c>
      <c r="C46" s="21">
        <f>24200-1300</f>
        <v>22900</v>
      </c>
      <c r="D46" s="529"/>
      <c r="E46" s="569"/>
      <c r="F46" s="528"/>
      <c r="G46" s="530"/>
      <c r="H46" s="531"/>
      <c r="I46" s="433"/>
      <c r="L46" s="536"/>
    </row>
    <row r="47" spans="1:12" ht="15.75" x14ac:dyDescent="0.25">
      <c r="A47" s="30" t="s">
        <v>499</v>
      </c>
      <c r="B47" s="229">
        <v>2200</v>
      </c>
      <c r="C47" s="21">
        <f>10000+3057</f>
        <v>13057</v>
      </c>
      <c r="D47" s="529"/>
      <c r="E47" s="569"/>
      <c r="F47" s="528"/>
      <c r="G47" s="530"/>
      <c r="H47" s="531"/>
      <c r="I47" s="433"/>
      <c r="L47" s="536"/>
    </row>
    <row r="48" spans="1:12" ht="15.75" x14ac:dyDescent="0.25">
      <c r="A48" s="894" t="s">
        <v>629</v>
      </c>
      <c r="B48" s="229">
        <v>5200</v>
      </c>
      <c r="C48" s="21">
        <f>12000+100</f>
        <v>12100</v>
      </c>
      <c r="D48" s="529"/>
      <c r="E48" s="569"/>
      <c r="F48" s="528"/>
      <c r="G48" s="530"/>
      <c r="H48" s="531"/>
      <c r="I48" s="433"/>
      <c r="L48" s="536"/>
    </row>
    <row r="49" spans="1:12" ht="15" x14ac:dyDescent="0.25">
      <c r="A49" s="264" t="s">
        <v>367</v>
      </c>
      <c r="B49" s="229">
        <v>2200</v>
      </c>
      <c r="C49" s="434">
        <v>1200</v>
      </c>
      <c r="D49" s="529"/>
      <c r="G49" s="515"/>
      <c r="H49" s="515"/>
      <c r="I49" s="433"/>
      <c r="L49" s="536"/>
    </row>
    <row r="50" spans="1:12" ht="15" x14ac:dyDescent="0.25">
      <c r="A50" s="264" t="s">
        <v>469</v>
      </c>
      <c r="B50" s="229">
        <v>2300</v>
      </c>
      <c r="C50" s="434">
        <v>350</v>
      </c>
      <c r="D50" s="529"/>
      <c r="G50" s="515"/>
      <c r="H50" s="515"/>
      <c r="I50" s="433"/>
      <c r="L50" s="536"/>
    </row>
    <row r="51" spans="1:12" ht="15" x14ac:dyDescent="0.25">
      <c r="A51" s="264" t="s">
        <v>605</v>
      </c>
      <c r="B51" s="229">
        <v>2200</v>
      </c>
      <c r="C51" s="21">
        <v>800</v>
      </c>
      <c r="D51" s="529"/>
      <c r="G51" s="515"/>
      <c r="I51" s="433"/>
      <c r="L51" s="537"/>
    </row>
    <row r="52" spans="1:12" ht="15" x14ac:dyDescent="0.25">
      <c r="A52" s="264" t="s">
        <v>606</v>
      </c>
      <c r="B52" s="229">
        <v>5200</v>
      </c>
      <c r="C52" s="434">
        <v>2800</v>
      </c>
      <c r="D52" s="529"/>
      <c r="G52" s="515"/>
      <c r="I52" s="433"/>
      <c r="L52" s="537"/>
    </row>
    <row r="53" spans="1:12" ht="30" x14ac:dyDescent="0.25">
      <c r="A53" s="233" t="s">
        <v>570</v>
      </c>
      <c r="B53" s="229">
        <v>5200</v>
      </c>
      <c r="C53" s="434">
        <v>5500</v>
      </c>
      <c r="D53" s="529"/>
      <c r="G53" s="515"/>
      <c r="I53" s="433"/>
      <c r="L53" s="537"/>
    </row>
    <row r="54" spans="1:12" ht="15" x14ac:dyDescent="0.25">
      <c r="A54" s="264" t="s">
        <v>497</v>
      </c>
      <c r="B54" s="229">
        <v>5200</v>
      </c>
      <c r="C54" s="434">
        <v>8394</v>
      </c>
      <c r="D54" s="529"/>
      <c r="G54" s="515"/>
      <c r="I54" s="433"/>
      <c r="L54" s="537"/>
    </row>
    <row r="55" spans="1:12" ht="15" x14ac:dyDescent="0.25">
      <c r="A55" s="264" t="s">
        <v>607</v>
      </c>
      <c r="B55" s="263">
        <v>5200</v>
      </c>
      <c r="C55" s="474">
        <v>15730</v>
      </c>
      <c r="D55" s="529"/>
      <c r="G55" s="515"/>
      <c r="I55" s="433"/>
      <c r="L55" s="537"/>
    </row>
    <row r="56" spans="1:12" ht="15" x14ac:dyDescent="0.25">
      <c r="A56" s="264" t="s">
        <v>608</v>
      </c>
      <c r="B56" s="263">
        <v>5200</v>
      </c>
      <c r="C56" s="474">
        <v>50000</v>
      </c>
      <c r="D56" s="529"/>
      <c r="G56" s="515"/>
      <c r="I56" s="433"/>
      <c r="L56" s="537"/>
    </row>
    <row r="57" spans="1:12" ht="30" x14ac:dyDescent="0.25">
      <c r="A57" s="233" t="s">
        <v>634</v>
      </c>
      <c r="B57" s="263">
        <v>5200</v>
      </c>
      <c r="C57" s="474">
        <v>218000</v>
      </c>
      <c r="D57" s="529"/>
      <c r="G57" s="515"/>
      <c r="I57" s="433"/>
      <c r="L57" s="537"/>
    </row>
    <row r="58" spans="1:12" ht="15" x14ac:dyDescent="0.25">
      <c r="A58" s="435" t="s">
        <v>368</v>
      </c>
      <c r="B58" s="263">
        <v>2200</v>
      </c>
      <c r="C58" s="305">
        <v>380</v>
      </c>
      <c r="D58" s="481"/>
      <c r="E58" s="565"/>
      <c r="F58" s="515"/>
      <c r="G58" s="515"/>
    </row>
    <row r="59" spans="1:12" ht="30.75" thickBot="1" x14ac:dyDescent="0.3">
      <c r="A59" s="327" t="s">
        <v>609</v>
      </c>
      <c r="B59" s="328">
        <v>2200</v>
      </c>
      <c r="C59" s="564">
        <v>67000</v>
      </c>
      <c r="D59" s="532"/>
      <c r="E59" s="528"/>
      <c r="F59" s="528"/>
      <c r="G59" s="528"/>
    </row>
    <row r="60" spans="1:12" ht="15.75" thickBot="1" x14ac:dyDescent="0.3">
      <c r="A60" s="238" t="s">
        <v>34</v>
      </c>
      <c r="B60" s="239"/>
      <c r="C60" s="240">
        <f>SUM(C39:C59)</f>
        <v>563939</v>
      </c>
      <c r="D60" s="533"/>
      <c r="E60" s="534"/>
      <c r="F60" s="534"/>
      <c r="G60" s="535"/>
      <c r="I60" s="522"/>
      <c r="J60" s="522"/>
    </row>
    <row r="61" spans="1:12" ht="15.75" x14ac:dyDescent="0.25">
      <c r="A61" s="265"/>
      <c r="B61" s="36"/>
      <c r="C61" s="35"/>
    </row>
    <row r="62" spans="1:12" ht="15" x14ac:dyDescent="0.25">
      <c r="A62" s="8" t="s">
        <v>155</v>
      </c>
      <c r="B62" s="1" t="s">
        <v>41</v>
      </c>
    </row>
  </sheetData>
  <mergeCells count="6">
    <mergeCell ref="A37:C37"/>
    <mergeCell ref="A2:C2"/>
    <mergeCell ref="A9:C9"/>
    <mergeCell ref="A20:C20"/>
    <mergeCell ref="A30:C30"/>
    <mergeCell ref="A25:C25"/>
  </mergeCells>
  <phoneticPr fontId="0" type="noConversion"/>
  <pageMargins left="0.74803149606299213" right="0.74803149606299213" top="0.39370078740157483" bottom="0.39370078740157483" header="0.51181102362204722" footer="0.51181102362204722"/>
  <pageSetup paperSize="9" scale="6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R11" sqref="R11"/>
    </sheetView>
  </sheetViews>
  <sheetFormatPr defaultColWidth="9.28515625" defaultRowHeight="15" x14ac:dyDescent="0.25"/>
  <cols>
    <col min="1" max="1" width="8.5703125" style="1" customWidth="1"/>
    <col min="2" max="2" width="42" style="8" customWidth="1"/>
    <col min="3" max="5" width="9.140625" style="1" customWidth="1"/>
    <col min="6" max="6" width="8.7109375" style="10" customWidth="1"/>
    <col min="7" max="7" width="8.28515625" style="1" customWidth="1"/>
    <col min="8" max="8" width="9.28515625" style="1" customWidth="1"/>
    <col min="9" max="9" width="9.28515625" style="6" customWidth="1"/>
    <col min="10" max="11" width="9.5703125" style="6" customWidth="1"/>
    <col min="12" max="13" width="8.85546875" style="6" customWidth="1"/>
    <col min="14" max="14" width="8.42578125" style="1" customWidth="1"/>
    <col min="15" max="255" width="9.28515625" style="1"/>
    <col min="256" max="256" width="8.5703125" style="1" customWidth="1"/>
    <col min="257" max="257" width="7.140625" style="1" customWidth="1"/>
    <col min="258" max="258" width="42.140625" style="1" customWidth="1"/>
    <col min="259" max="260" width="9.140625" style="1" customWidth="1"/>
    <col min="261" max="261" width="8.7109375" style="1" customWidth="1"/>
    <col min="262" max="263" width="8.42578125" style="1" customWidth="1"/>
    <col min="264" max="264" width="8.28515625" style="1" customWidth="1"/>
    <col min="265" max="265" width="11.28515625" style="1" customWidth="1"/>
    <col min="266" max="266" width="8.5703125" style="1" customWidth="1"/>
    <col min="267" max="267" width="9.28515625" style="1" customWidth="1"/>
    <col min="268" max="268" width="9.5703125" style="1" customWidth="1"/>
    <col min="269" max="269" width="8.85546875" style="1" customWidth="1"/>
    <col min="270" max="270" width="8.42578125" style="1" customWidth="1"/>
    <col min="271" max="511" width="9.28515625" style="1"/>
    <col min="512" max="512" width="8.5703125" style="1" customWidth="1"/>
    <col min="513" max="513" width="7.140625" style="1" customWidth="1"/>
    <col min="514" max="514" width="42.140625" style="1" customWidth="1"/>
    <col min="515" max="516" width="9.140625" style="1" customWidth="1"/>
    <col min="517" max="517" width="8.7109375" style="1" customWidth="1"/>
    <col min="518" max="519" width="8.42578125" style="1" customWidth="1"/>
    <col min="520" max="520" width="8.28515625" style="1" customWidth="1"/>
    <col min="521" max="521" width="11.28515625" style="1" customWidth="1"/>
    <col min="522" max="522" width="8.5703125" style="1" customWidth="1"/>
    <col min="523" max="523" width="9.28515625" style="1" customWidth="1"/>
    <col min="524" max="524" width="9.5703125" style="1" customWidth="1"/>
    <col min="525" max="525" width="8.85546875" style="1" customWidth="1"/>
    <col min="526" max="526" width="8.42578125" style="1" customWidth="1"/>
    <col min="527" max="767" width="9.28515625" style="1"/>
    <col min="768" max="768" width="8.5703125" style="1" customWidth="1"/>
    <col min="769" max="769" width="7.140625" style="1" customWidth="1"/>
    <col min="770" max="770" width="42.140625" style="1" customWidth="1"/>
    <col min="771" max="772" width="9.140625" style="1" customWidth="1"/>
    <col min="773" max="773" width="8.7109375" style="1" customWidth="1"/>
    <col min="774" max="775" width="8.42578125" style="1" customWidth="1"/>
    <col min="776" max="776" width="8.28515625" style="1" customWidth="1"/>
    <col min="777" max="777" width="11.28515625" style="1" customWidth="1"/>
    <col min="778" max="778" width="8.5703125" style="1" customWidth="1"/>
    <col min="779" max="779" width="9.28515625" style="1" customWidth="1"/>
    <col min="780" max="780" width="9.5703125" style="1" customWidth="1"/>
    <col min="781" max="781" width="8.85546875" style="1" customWidth="1"/>
    <col min="782" max="782" width="8.42578125" style="1" customWidth="1"/>
    <col min="783" max="1023" width="9.28515625" style="1"/>
    <col min="1024" max="1024" width="8.5703125" style="1" customWidth="1"/>
    <col min="1025" max="1025" width="7.140625" style="1" customWidth="1"/>
    <col min="1026" max="1026" width="42.140625" style="1" customWidth="1"/>
    <col min="1027" max="1028" width="9.140625" style="1" customWidth="1"/>
    <col min="1029" max="1029" width="8.7109375" style="1" customWidth="1"/>
    <col min="1030" max="1031" width="8.42578125" style="1" customWidth="1"/>
    <col min="1032" max="1032" width="8.28515625" style="1" customWidth="1"/>
    <col min="1033" max="1033" width="11.28515625" style="1" customWidth="1"/>
    <col min="1034" max="1034" width="8.5703125" style="1" customWidth="1"/>
    <col min="1035" max="1035" width="9.28515625" style="1" customWidth="1"/>
    <col min="1036" max="1036" width="9.5703125" style="1" customWidth="1"/>
    <col min="1037" max="1037" width="8.85546875" style="1" customWidth="1"/>
    <col min="1038" max="1038" width="8.42578125" style="1" customWidth="1"/>
    <col min="1039" max="1279" width="9.28515625" style="1"/>
    <col min="1280" max="1280" width="8.5703125" style="1" customWidth="1"/>
    <col min="1281" max="1281" width="7.140625" style="1" customWidth="1"/>
    <col min="1282" max="1282" width="42.140625" style="1" customWidth="1"/>
    <col min="1283" max="1284" width="9.140625" style="1" customWidth="1"/>
    <col min="1285" max="1285" width="8.7109375" style="1" customWidth="1"/>
    <col min="1286" max="1287" width="8.42578125" style="1" customWidth="1"/>
    <col min="1288" max="1288" width="8.28515625" style="1" customWidth="1"/>
    <col min="1289" max="1289" width="11.28515625" style="1" customWidth="1"/>
    <col min="1290" max="1290" width="8.5703125" style="1" customWidth="1"/>
    <col min="1291" max="1291" width="9.28515625" style="1" customWidth="1"/>
    <col min="1292" max="1292" width="9.5703125" style="1" customWidth="1"/>
    <col min="1293" max="1293" width="8.85546875" style="1" customWidth="1"/>
    <col min="1294" max="1294" width="8.42578125" style="1" customWidth="1"/>
    <col min="1295" max="1535" width="9.28515625" style="1"/>
    <col min="1536" max="1536" width="8.5703125" style="1" customWidth="1"/>
    <col min="1537" max="1537" width="7.140625" style="1" customWidth="1"/>
    <col min="1538" max="1538" width="42.140625" style="1" customWidth="1"/>
    <col min="1539" max="1540" width="9.140625" style="1" customWidth="1"/>
    <col min="1541" max="1541" width="8.7109375" style="1" customWidth="1"/>
    <col min="1542" max="1543" width="8.42578125" style="1" customWidth="1"/>
    <col min="1544" max="1544" width="8.28515625" style="1" customWidth="1"/>
    <col min="1545" max="1545" width="11.28515625" style="1" customWidth="1"/>
    <col min="1546" max="1546" width="8.5703125" style="1" customWidth="1"/>
    <col min="1547" max="1547" width="9.28515625" style="1" customWidth="1"/>
    <col min="1548" max="1548" width="9.5703125" style="1" customWidth="1"/>
    <col min="1549" max="1549" width="8.85546875" style="1" customWidth="1"/>
    <col min="1550" max="1550" width="8.42578125" style="1" customWidth="1"/>
    <col min="1551" max="1791" width="9.28515625" style="1"/>
    <col min="1792" max="1792" width="8.5703125" style="1" customWidth="1"/>
    <col min="1793" max="1793" width="7.140625" style="1" customWidth="1"/>
    <col min="1794" max="1794" width="42.140625" style="1" customWidth="1"/>
    <col min="1795" max="1796" width="9.140625" style="1" customWidth="1"/>
    <col min="1797" max="1797" width="8.7109375" style="1" customWidth="1"/>
    <col min="1798" max="1799" width="8.42578125" style="1" customWidth="1"/>
    <col min="1800" max="1800" width="8.28515625" style="1" customWidth="1"/>
    <col min="1801" max="1801" width="11.28515625" style="1" customWidth="1"/>
    <col min="1802" max="1802" width="8.5703125" style="1" customWidth="1"/>
    <col min="1803" max="1803" width="9.28515625" style="1" customWidth="1"/>
    <col min="1804" max="1804" width="9.5703125" style="1" customWidth="1"/>
    <col min="1805" max="1805" width="8.85546875" style="1" customWidth="1"/>
    <col min="1806" max="1806" width="8.42578125" style="1" customWidth="1"/>
    <col min="1807" max="2047" width="9.28515625" style="1"/>
    <col min="2048" max="2048" width="8.5703125" style="1" customWidth="1"/>
    <col min="2049" max="2049" width="7.140625" style="1" customWidth="1"/>
    <col min="2050" max="2050" width="42.140625" style="1" customWidth="1"/>
    <col min="2051" max="2052" width="9.140625" style="1" customWidth="1"/>
    <col min="2053" max="2053" width="8.7109375" style="1" customWidth="1"/>
    <col min="2054" max="2055" width="8.42578125" style="1" customWidth="1"/>
    <col min="2056" max="2056" width="8.28515625" style="1" customWidth="1"/>
    <col min="2057" max="2057" width="11.28515625" style="1" customWidth="1"/>
    <col min="2058" max="2058" width="8.5703125" style="1" customWidth="1"/>
    <col min="2059" max="2059" width="9.28515625" style="1" customWidth="1"/>
    <col min="2060" max="2060" width="9.5703125" style="1" customWidth="1"/>
    <col min="2061" max="2061" width="8.85546875" style="1" customWidth="1"/>
    <col min="2062" max="2062" width="8.42578125" style="1" customWidth="1"/>
    <col min="2063" max="2303" width="9.28515625" style="1"/>
    <col min="2304" max="2304" width="8.5703125" style="1" customWidth="1"/>
    <col min="2305" max="2305" width="7.140625" style="1" customWidth="1"/>
    <col min="2306" max="2306" width="42.140625" style="1" customWidth="1"/>
    <col min="2307" max="2308" width="9.140625" style="1" customWidth="1"/>
    <col min="2309" max="2309" width="8.7109375" style="1" customWidth="1"/>
    <col min="2310" max="2311" width="8.42578125" style="1" customWidth="1"/>
    <col min="2312" max="2312" width="8.28515625" style="1" customWidth="1"/>
    <col min="2313" max="2313" width="11.28515625" style="1" customWidth="1"/>
    <col min="2314" max="2314" width="8.5703125" style="1" customWidth="1"/>
    <col min="2315" max="2315" width="9.28515625" style="1" customWidth="1"/>
    <col min="2316" max="2316" width="9.5703125" style="1" customWidth="1"/>
    <col min="2317" max="2317" width="8.85546875" style="1" customWidth="1"/>
    <col min="2318" max="2318" width="8.42578125" style="1" customWidth="1"/>
    <col min="2319" max="2559" width="9.28515625" style="1"/>
    <col min="2560" max="2560" width="8.5703125" style="1" customWidth="1"/>
    <col min="2561" max="2561" width="7.140625" style="1" customWidth="1"/>
    <col min="2562" max="2562" width="42.140625" style="1" customWidth="1"/>
    <col min="2563" max="2564" width="9.140625" style="1" customWidth="1"/>
    <col min="2565" max="2565" width="8.7109375" style="1" customWidth="1"/>
    <col min="2566" max="2567" width="8.42578125" style="1" customWidth="1"/>
    <col min="2568" max="2568" width="8.28515625" style="1" customWidth="1"/>
    <col min="2569" max="2569" width="11.28515625" style="1" customWidth="1"/>
    <col min="2570" max="2570" width="8.5703125" style="1" customWidth="1"/>
    <col min="2571" max="2571" width="9.28515625" style="1" customWidth="1"/>
    <col min="2572" max="2572" width="9.5703125" style="1" customWidth="1"/>
    <col min="2573" max="2573" width="8.85546875" style="1" customWidth="1"/>
    <col min="2574" max="2574" width="8.42578125" style="1" customWidth="1"/>
    <col min="2575" max="2815" width="9.28515625" style="1"/>
    <col min="2816" max="2816" width="8.5703125" style="1" customWidth="1"/>
    <col min="2817" max="2817" width="7.140625" style="1" customWidth="1"/>
    <col min="2818" max="2818" width="42.140625" style="1" customWidth="1"/>
    <col min="2819" max="2820" width="9.140625" style="1" customWidth="1"/>
    <col min="2821" max="2821" width="8.7109375" style="1" customWidth="1"/>
    <col min="2822" max="2823" width="8.42578125" style="1" customWidth="1"/>
    <col min="2824" max="2824" width="8.28515625" style="1" customWidth="1"/>
    <col min="2825" max="2825" width="11.28515625" style="1" customWidth="1"/>
    <col min="2826" max="2826" width="8.5703125" style="1" customWidth="1"/>
    <col min="2827" max="2827" width="9.28515625" style="1" customWidth="1"/>
    <col min="2828" max="2828" width="9.5703125" style="1" customWidth="1"/>
    <col min="2829" max="2829" width="8.85546875" style="1" customWidth="1"/>
    <col min="2830" max="2830" width="8.42578125" style="1" customWidth="1"/>
    <col min="2831" max="3071" width="9.28515625" style="1"/>
    <col min="3072" max="3072" width="8.5703125" style="1" customWidth="1"/>
    <col min="3073" max="3073" width="7.140625" style="1" customWidth="1"/>
    <col min="3074" max="3074" width="42.140625" style="1" customWidth="1"/>
    <col min="3075" max="3076" width="9.140625" style="1" customWidth="1"/>
    <col min="3077" max="3077" width="8.7109375" style="1" customWidth="1"/>
    <col min="3078" max="3079" width="8.42578125" style="1" customWidth="1"/>
    <col min="3080" max="3080" width="8.28515625" style="1" customWidth="1"/>
    <col min="3081" max="3081" width="11.28515625" style="1" customWidth="1"/>
    <col min="3082" max="3082" width="8.5703125" style="1" customWidth="1"/>
    <col min="3083" max="3083" width="9.28515625" style="1" customWidth="1"/>
    <col min="3084" max="3084" width="9.5703125" style="1" customWidth="1"/>
    <col min="3085" max="3085" width="8.85546875" style="1" customWidth="1"/>
    <col min="3086" max="3086" width="8.42578125" style="1" customWidth="1"/>
    <col min="3087" max="3327" width="9.28515625" style="1"/>
    <col min="3328" max="3328" width="8.5703125" style="1" customWidth="1"/>
    <col min="3329" max="3329" width="7.140625" style="1" customWidth="1"/>
    <col min="3330" max="3330" width="42.140625" style="1" customWidth="1"/>
    <col min="3331" max="3332" width="9.140625" style="1" customWidth="1"/>
    <col min="3333" max="3333" width="8.7109375" style="1" customWidth="1"/>
    <col min="3334" max="3335" width="8.42578125" style="1" customWidth="1"/>
    <col min="3336" max="3336" width="8.28515625" style="1" customWidth="1"/>
    <col min="3337" max="3337" width="11.28515625" style="1" customWidth="1"/>
    <col min="3338" max="3338" width="8.5703125" style="1" customWidth="1"/>
    <col min="3339" max="3339" width="9.28515625" style="1" customWidth="1"/>
    <col min="3340" max="3340" width="9.5703125" style="1" customWidth="1"/>
    <col min="3341" max="3341" width="8.85546875" style="1" customWidth="1"/>
    <col min="3342" max="3342" width="8.42578125" style="1" customWidth="1"/>
    <col min="3343" max="3583" width="9.28515625" style="1"/>
    <col min="3584" max="3584" width="8.5703125" style="1" customWidth="1"/>
    <col min="3585" max="3585" width="7.140625" style="1" customWidth="1"/>
    <col min="3586" max="3586" width="42.140625" style="1" customWidth="1"/>
    <col min="3587" max="3588" width="9.140625" style="1" customWidth="1"/>
    <col min="3589" max="3589" width="8.7109375" style="1" customWidth="1"/>
    <col min="3590" max="3591" width="8.42578125" style="1" customWidth="1"/>
    <col min="3592" max="3592" width="8.28515625" style="1" customWidth="1"/>
    <col min="3593" max="3593" width="11.28515625" style="1" customWidth="1"/>
    <col min="3594" max="3594" width="8.5703125" style="1" customWidth="1"/>
    <col min="3595" max="3595" width="9.28515625" style="1" customWidth="1"/>
    <col min="3596" max="3596" width="9.5703125" style="1" customWidth="1"/>
    <col min="3597" max="3597" width="8.85546875" style="1" customWidth="1"/>
    <col min="3598" max="3598" width="8.42578125" style="1" customWidth="1"/>
    <col min="3599" max="3839" width="9.28515625" style="1"/>
    <col min="3840" max="3840" width="8.5703125" style="1" customWidth="1"/>
    <col min="3841" max="3841" width="7.140625" style="1" customWidth="1"/>
    <col min="3842" max="3842" width="42.140625" style="1" customWidth="1"/>
    <col min="3843" max="3844" width="9.140625" style="1" customWidth="1"/>
    <col min="3845" max="3845" width="8.7109375" style="1" customWidth="1"/>
    <col min="3846" max="3847" width="8.42578125" style="1" customWidth="1"/>
    <col min="3848" max="3848" width="8.28515625" style="1" customWidth="1"/>
    <col min="3849" max="3849" width="11.28515625" style="1" customWidth="1"/>
    <col min="3850" max="3850" width="8.5703125" style="1" customWidth="1"/>
    <col min="3851" max="3851" width="9.28515625" style="1" customWidth="1"/>
    <col min="3852" max="3852" width="9.5703125" style="1" customWidth="1"/>
    <col min="3853" max="3853" width="8.85546875" style="1" customWidth="1"/>
    <col min="3854" max="3854" width="8.42578125" style="1" customWidth="1"/>
    <col min="3855" max="4095" width="9.28515625" style="1"/>
    <col min="4096" max="4096" width="8.5703125" style="1" customWidth="1"/>
    <col min="4097" max="4097" width="7.140625" style="1" customWidth="1"/>
    <col min="4098" max="4098" width="42.140625" style="1" customWidth="1"/>
    <col min="4099" max="4100" width="9.140625" style="1" customWidth="1"/>
    <col min="4101" max="4101" width="8.7109375" style="1" customWidth="1"/>
    <col min="4102" max="4103" width="8.42578125" style="1" customWidth="1"/>
    <col min="4104" max="4104" width="8.28515625" style="1" customWidth="1"/>
    <col min="4105" max="4105" width="11.28515625" style="1" customWidth="1"/>
    <col min="4106" max="4106" width="8.5703125" style="1" customWidth="1"/>
    <col min="4107" max="4107" width="9.28515625" style="1" customWidth="1"/>
    <col min="4108" max="4108" width="9.5703125" style="1" customWidth="1"/>
    <col min="4109" max="4109" width="8.85546875" style="1" customWidth="1"/>
    <col min="4110" max="4110" width="8.42578125" style="1" customWidth="1"/>
    <col min="4111" max="4351" width="9.28515625" style="1"/>
    <col min="4352" max="4352" width="8.5703125" style="1" customWidth="1"/>
    <col min="4353" max="4353" width="7.140625" style="1" customWidth="1"/>
    <col min="4354" max="4354" width="42.140625" style="1" customWidth="1"/>
    <col min="4355" max="4356" width="9.140625" style="1" customWidth="1"/>
    <col min="4357" max="4357" width="8.7109375" style="1" customWidth="1"/>
    <col min="4358" max="4359" width="8.42578125" style="1" customWidth="1"/>
    <col min="4360" max="4360" width="8.28515625" style="1" customWidth="1"/>
    <col min="4361" max="4361" width="11.28515625" style="1" customWidth="1"/>
    <col min="4362" max="4362" width="8.5703125" style="1" customWidth="1"/>
    <col min="4363" max="4363" width="9.28515625" style="1" customWidth="1"/>
    <col min="4364" max="4364" width="9.5703125" style="1" customWidth="1"/>
    <col min="4365" max="4365" width="8.85546875" style="1" customWidth="1"/>
    <col min="4366" max="4366" width="8.42578125" style="1" customWidth="1"/>
    <col min="4367" max="4607" width="9.28515625" style="1"/>
    <col min="4608" max="4608" width="8.5703125" style="1" customWidth="1"/>
    <col min="4609" max="4609" width="7.140625" style="1" customWidth="1"/>
    <col min="4610" max="4610" width="42.140625" style="1" customWidth="1"/>
    <col min="4611" max="4612" width="9.140625" style="1" customWidth="1"/>
    <col min="4613" max="4613" width="8.7109375" style="1" customWidth="1"/>
    <col min="4614" max="4615" width="8.42578125" style="1" customWidth="1"/>
    <col min="4616" max="4616" width="8.28515625" style="1" customWidth="1"/>
    <col min="4617" max="4617" width="11.28515625" style="1" customWidth="1"/>
    <col min="4618" max="4618" width="8.5703125" style="1" customWidth="1"/>
    <col min="4619" max="4619" width="9.28515625" style="1" customWidth="1"/>
    <col min="4620" max="4620" width="9.5703125" style="1" customWidth="1"/>
    <col min="4621" max="4621" width="8.85546875" style="1" customWidth="1"/>
    <col min="4622" max="4622" width="8.42578125" style="1" customWidth="1"/>
    <col min="4623" max="4863" width="9.28515625" style="1"/>
    <col min="4864" max="4864" width="8.5703125" style="1" customWidth="1"/>
    <col min="4865" max="4865" width="7.140625" style="1" customWidth="1"/>
    <col min="4866" max="4866" width="42.140625" style="1" customWidth="1"/>
    <col min="4867" max="4868" width="9.140625" style="1" customWidth="1"/>
    <col min="4869" max="4869" width="8.7109375" style="1" customWidth="1"/>
    <col min="4870" max="4871" width="8.42578125" style="1" customWidth="1"/>
    <col min="4872" max="4872" width="8.28515625" style="1" customWidth="1"/>
    <col min="4873" max="4873" width="11.28515625" style="1" customWidth="1"/>
    <col min="4874" max="4874" width="8.5703125" style="1" customWidth="1"/>
    <col min="4875" max="4875" width="9.28515625" style="1" customWidth="1"/>
    <col min="4876" max="4876" width="9.5703125" style="1" customWidth="1"/>
    <col min="4877" max="4877" width="8.85546875" style="1" customWidth="1"/>
    <col min="4878" max="4878" width="8.42578125" style="1" customWidth="1"/>
    <col min="4879" max="5119" width="9.28515625" style="1"/>
    <col min="5120" max="5120" width="8.5703125" style="1" customWidth="1"/>
    <col min="5121" max="5121" width="7.140625" style="1" customWidth="1"/>
    <col min="5122" max="5122" width="42.140625" style="1" customWidth="1"/>
    <col min="5123" max="5124" width="9.140625" style="1" customWidth="1"/>
    <col min="5125" max="5125" width="8.7109375" style="1" customWidth="1"/>
    <col min="5126" max="5127" width="8.42578125" style="1" customWidth="1"/>
    <col min="5128" max="5128" width="8.28515625" style="1" customWidth="1"/>
    <col min="5129" max="5129" width="11.28515625" style="1" customWidth="1"/>
    <col min="5130" max="5130" width="8.5703125" style="1" customWidth="1"/>
    <col min="5131" max="5131" width="9.28515625" style="1" customWidth="1"/>
    <col min="5132" max="5132" width="9.5703125" style="1" customWidth="1"/>
    <col min="5133" max="5133" width="8.85546875" style="1" customWidth="1"/>
    <col min="5134" max="5134" width="8.42578125" style="1" customWidth="1"/>
    <col min="5135" max="5375" width="9.28515625" style="1"/>
    <col min="5376" max="5376" width="8.5703125" style="1" customWidth="1"/>
    <col min="5377" max="5377" width="7.140625" style="1" customWidth="1"/>
    <col min="5378" max="5378" width="42.140625" style="1" customWidth="1"/>
    <col min="5379" max="5380" width="9.140625" style="1" customWidth="1"/>
    <col min="5381" max="5381" width="8.7109375" style="1" customWidth="1"/>
    <col min="5382" max="5383" width="8.42578125" style="1" customWidth="1"/>
    <col min="5384" max="5384" width="8.28515625" style="1" customWidth="1"/>
    <col min="5385" max="5385" width="11.28515625" style="1" customWidth="1"/>
    <col min="5386" max="5386" width="8.5703125" style="1" customWidth="1"/>
    <col min="5387" max="5387" width="9.28515625" style="1" customWidth="1"/>
    <col min="5388" max="5388" width="9.5703125" style="1" customWidth="1"/>
    <col min="5389" max="5389" width="8.85546875" style="1" customWidth="1"/>
    <col min="5390" max="5390" width="8.42578125" style="1" customWidth="1"/>
    <col min="5391" max="5631" width="9.28515625" style="1"/>
    <col min="5632" max="5632" width="8.5703125" style="1" customWidth="1"/>
    <col min="5633" max="5633" width="7.140625" style="1" customWidth="1"/>
    <col min="5634" max="5634" width="42.140625" style="1" customWidth="1"/>
    <col min="5635" max="5636" width="9.140625" style="1" customWidth="1"/>
    <col min="5637" max="5637" width="8.7109375" style="1" customWidth="1"/>
    <col min="5638" max="5639" width="8.42578125" style="1" customWidth="1"/>
    <col min="5640" max="5640" width="8.28515625" style="1" customWidth="1"/>
    <col min="5641" max="5641" width="11.28515625" style="1" customWidth="1"/>
    <col min="5642" max="5642" width="8.5703125" style="1" customWidth="1"/>
    <col min="5643" max="5643" width="9.28515625" style="1" customWidth="1"/>
    <col min="5644" max="5644" width="9.5703125" style="1" customWidth="1"/>
    <col min="5645" max="5645" width="8.85546875" style="1" customWidth="1"/>
    <col min="5646" max="5646" width="8.42578125" style="1" customWidth="1"/>
    <col min="5647" max="5887" width="9.28515625" style="1"/>
    <col min="5888" max="5888" width="8.5703125" style="1" customWidth="1"/>
    <col min="5889" max="5889" width="7.140625" style="1" customWidth="1"/>
    <col min="5890" max="5890" width="42.140625" style="1" customWidth="1"/>
    <col min="5891" max="5892" width="9.140625" style="1" customWidth="1"/>
    <col min="5893" max="5893" width="8.7109375" style="1" customWidth="1"/>
    <col min="5894" max="5895" width="8.42578125" style="1" customWidth="1"/>
    <col min="5896" max="5896" width="8.28515625" style="1" customWidth="1"/>
    <col min="5897" max="5897" width="11.28515625" style="1" customWidth="1"/>
    <col min="5898" max="5898" width="8.5703125" style="1" customWidth="1"/>
    <col min="5899" max="5899" width="9.28515625" style="1" customWidth="1"/>
    <col min="5900" max="5900" width="9.5703125" style="1" customWidth="1"/>
    <col min="5901" max="5901" width="8.85546875" style="1" customWidth="1"/>
    <col min="5902" max="5902" width="8.42578125" style="1" customWidth="1"/>
    <col min="5903" max="6143" width="9.28515625" style="1"/>
    <col min="6144" max="6144" width="8.5703125" style="1" customWidth="1"/>
    <col min="6145" max="6145" width="7.140625" style="1" customWidth="1"/>
    <col min="6146" max="6146" width="42.140625" style="1" customWidth="1"/>
    <col min="6147" max="6148" width="9.140625" style="1" customWidth="1"/>
    <col min="6149" max="6149" width="8.7109375" style="1" customWidth="1"/>
    <col min="6150" max="6151" width="8.42578125" style="1" customWidth="1"/>
    <col min="6152" max="6152" width="8.28515625" style="1" customWidth="1"/>
    <col min="6153" max="6153" width="11.28515625" style="1" customWidth="1"/>
    <col min="6154" max="6154" width="8.5703125" style="1" customWidth="1"/>
    <col min="6155" max="6155" width="9.28515625" style="1" customWidth="1"/>
    <col min="6156" max="6156" width="9.5703125" style="1" customWidth="1"/>
    <col min="6157" max="6157" width="8.85546875" style="1" customWidth="1"/>
    <col min="6158" max="6158" width="8.42578125" style="1" customWidth="1"/>
    <col min="6159" max="6399" width="9.28515625" style="1"/>
    <col min="6400" max="6400" width="8.5703125" style="1" customWidth="1"/>
    <col min="6401" max="6401" width="7.140625" style="1" customWidth="1"/>
    <col min="6402" max="6402" width="42.140625" style="1" customWidth="1"/>
    <col min="6403" max="6404" width="9.140625" style="1" customWidth="1"/>
    <col min="6405" max="6405" width="8.7109375" style="1" customWidth="1"/>
    <col min="6406" max="6407" width="8.42578125" style="1" customWidth="1"/>
    <col min="6408" max="6408" width="8.28515625" style="1" customWidth="1"/>
    <col min="6409" max="6409" width="11.28515625" style="1" customWidth="1"/>
    <col min="6410" max="6410" width="8.5703125" style="1" customWidth="1"/>
    <col min="6411" max="6411" width="9.28515625" style="1" customWidth="1"/>
    <col min="6412" max="6412" width="9.5703125" style="1" customWidth="1"/>
    <col min="6413" max="6413" width="8.85546875" style="1" customWidth="1"/>
    <col min="6414" max="6414" width="8.42578125" style="1" customWidth="1"/>
    <col min="6415" max="6655" width="9.28515625" style="1"/>
    <col min="6656" max="6656" width="8.5703125" style="1" customWidth="1"/>
    <col min="6657" max="6657" width="7.140625" style="1" customWidth="1"/>
    <col min="6658" max="6658" width="42.140625" style="1" customWidth="1"/>
    <col min="6659" max="6660" width="9.140625" style="1" customWidth="1"/>
    <col min="6661" max="6661" width="8.7109375" style="1" customWidth="1"/>
    <col min="6662" max="6663" width="8.42578125" style="1" customWidth="1"/>
    <col min="6664" max="6664" width="8.28515625" style="1" customWidth="1"/>
    <col min="6665" max="6665" width="11.28515625" style="1" customWidth="1"/>
    <col min="6666" max="6666" width="8.5703125" style="1" customWidth="1"/>
    <col min="6667" max="6667" width="9.28515625" style="1" customWidth="1"/>
    <col min="6668" max="6668" width="9.5703125" style="1" customWidth="1"/>
    <col min="6669" max="6669" width="8.85546875" style="1" customWidth="1"/>
    <col min="6670" max="6670" width="8.42578125" style="1" customWidth="1"/>
    <col min="6671" max="6911" width="9.28515625" style="1"/>
    <col min="6912" max="6912" width="8.5703125" style="1" customWidth="1"/>
    <col min="6913" max="6913" width="7.140625" style="1" customWidth="1"/>
    <col min="6914" max="6914" width="42.140625" style="1" customWidth="1"/>
    <col min="6915" max="6916" width="9.140625" style="1" customWidth="1"/>
    <col min="6917" max="6917" width="8.7109375" style="1" customWidth="1"/>
    <col min="6918" max="6919" width="8.42578125" style="1" customWidth="1"/>
    <col min="6920" max="6920" width="8.28515625" style="1" customWidth="1"/>
    <col min="6921" max="6921" width="11.28515625" style="1" customWidth="1"/>
    <col min="6922" max="6922" width="8.5703125" style="1" customWidth="1"/>
    <col min="6923" max="6923" width="9.28515625" style="1" customWidth="1"/>
    <col min="6924" max="6924" width="9.5703125" style="1" customWidth="1"/>
    <col min="6925" max="6925" width="8.85546875" style="1" customWidth="1"/>
    <col min="6926" max="6926" width="8.42578125" style="1" customWidth="1"/>
    <col min="6927" max="7167" width="9.28515625" style="1"/>
    <col min="7168" max="7168" width="8.5703125" style="1" customWidth="1"/>
    <col min="7169" max="7169" width="7.140625" style="1" customWidth="1"/>
    <col min="7170" max="7170" width="42.140625" style="1" customWidth="1"/>
    <col min="7171" max="7172" width="9.140625" style="1" customWidth="1"/>
    <col min="7173" max="7173" width="8.7109375" style="1" customWidth="1"/>
    <col min="7174" max="7175" width="8.42578125" style="1" customWidth="1"/>
    <col min="7176" max="7176" width="8.28515625" style="1" customWidth="1"/>
    <col min="7177" max="7177" width="11.28515625" style="1" customWidth="1"/>
    <col min="7178" max="7178" width="8.5703125" style="1" customWidth="1"/>
    <col min="7179" max="7179" width="9.28515625" style="1" customWidth="1"/>
    <col min="7180" max="7180" width="9.5703125" style="1" customWidth="1"/>
    <col min="7181" max="7181" width="8.85546875" style="1" customWidth="1"/>
    <col min="7182" max="7182" width="8.42578125" style="1" customWidth="1"/>
    <col min="7183" max="7423" width="9.28515625" style="1"/>
    <col min="7424" max="7424" width="8.5703125" style="1" customWidth="1"/>
    <col min="7425" max="7425" width="7.140625" style="1" customWidth="1"/>
    <col min="7426" max="7426" width="42.140625" style="1" customWidth="1"/>
    <col min="7427" max="7428" width="9.140625" style="1" customWidth="1"/>
    <col min="7429" max="7429" width="8.7109375" style="1" customWidth="1"/>
    <col min="7430" max="7431" width="8.42578125" style="1" customWidth="1"/>
    <col min="7432" max="7432" width="8.28515625" style="1" customWidth="1"/>
    <col min="7433" max="7433" width="11.28515625" style="1" customWidth="1"/>
    <col min="7434" max="7434" width="8.5703125" style="1" customWidth="1"/>
    <col min="7435" max="7435" width="9.28515625" style="1" customWidth="1"/>
    <col min="7436" max="7436" width="9.5703125" style="1" customWidth="1"/>
    <col min="7437" max="7437" width="8.85546875" style="1" customWidth="1"/>
    <col min="7438" max="7438" width="8.42578125" style="1" customWidth="1"/>
    <col min="7439" max="7679" width="9.28515625" style="1"/>
    <col min="7680" max="7680" width="8.5703125" style="1" customWidth="1"/>
    <col min="7681" max="7681" width="7.140625" style="1" customWidth="1"/>
    <col min="7682" max="7682" width="42.140625" style="1" customWidth="1"/>
    <col min="7683" max="7684" width="9.140625" style="1" customWidth="1"/>
    <col min="7685" max="7685" width="8.7109375" style="1" customWidth="1"/>
    <col min="7686" max="7687" width="8.42578125" style="1" customWidth="1"/>
    <col min="7688" max="7688" width="8.28515625" style="1" customWidth="1"/>
    <col min="7689" max="7689" width="11.28515625" style="1" customWidth="1"/>
    <col min="7690" max="7690" width="8.5703125" style="1" customWidth="1"/>
    <col min="7691" max="7691" width="9.28515625" style="1" customWidth="1"/>
    <col min="7692" max="7692" width="9.5703125" style="1" customWidth="1"/>
    <col min="7693" max="7693" width="8.85546875" style="1" customWidth="1"/>
    <col min="7694" max="7694" width="8.42578125" style="1" customWidth="1"/>
    <col min="7695" max="7935" width="9.28515625" style="1"/>
    <col min="7936" max="7936" width="8.5703125" style="1" customWidth="1"/>
    <col min="7937" max="7937" width="7.140625" style="1" customWidth="1"/>
    <col min="7938" max="7938" width="42.140625" style="1" customWidth="1"/>
    <col min="7939" max="7940" width="9.140625" style="1" customWidth="1"/>
    <col min="7941" max="7941" width="8.7109375" style="1" customWidth="1"/>
    <col min="7942" max="7943" width="8.42578125" style="1" customWidth="1"/>
    <col min="7944" max="7944" width="8.28515625" style="1" customWidth="1"/>
    <col min="7945" max="7945" width="11.28515625" style="1" customWidth="1"/>
    <col min="7946" max="7946" width="8.5703125" style="1" customWidth="1"/>
    <col min="7947" max="7947" width="9.28515625" style="1" customWidth="1"/>
    <col min="7948" max="7948" width="9.5703125" style="1" customWidth="1"/>
    <col min="7949" max="7949" width="8.85546875" style="1" customWidth="1"/>
    <col min="7950" max="7950" width="8.42578125" style="1" customWidth="1"/>
    <col min="7951" max="8191" width="9.28515625" style="1"/>
    <col min="8192" max="8192" width="8.5703125" style="1" customWidth="1"/>
    <col min="8193" max="8193" width="7.140625" style="1" customWidth="1"/>
    <col min="8194" max="8194" width="42.140625" style="1" customWidth="1"/>
    <col min="8195" max="8196" width="9.140625" style="1" customWidth="1"/>
    <col min="8197" max="8197" width="8.7109375" style="1" customWidth="1"/>
    <col min="8198" max="8199" width="8.42578125" style="1" customWidth="1"/>
    <col min="8200" max="8200" width="8.28515625" style="1" customWidth="1"/>
    <col min="8201" max="8201" width="11.28515625" style="1" customWidth="1"/>
    <col min="8202" max="8202" width="8.5703125" style="1" customWidth="1"/>
    <col min="8203" max="8203" width="9.28515625" style="1" customWidth="1"/>
    <col min="8204" max="8204" width="9.5703125" style="1" customWidth="1"/>
    <col min="8205" max="8205" width="8.85546875" style="1" customWidth="1"/>
    <col min="8206" max="8206" width="8.42578125" style="1" customWidth="1"/>
    <col min="8207" max="8447" width="9.28515625" style="1"/>
    <col min="8448" max="8448" width="8.5703125" style="1" customWidth="1"/>
    <col min="8449" max="8449" width="7.140625" style="1" customWidth="1"/>
    <col min="8450" max="8450" width="42.140625" style="1" customWidth="1"/>
    <col min="8451" max="8452" width="9.140625" style="1" customWidth="1"/>
    <col min="8453" max="8453" width="8.7109375" style="1" customWidth="1"/>
    <col min="8454" max="8455" width="8.42578125" style="1" customWidth="1"/>
    <col min="8456" max="8456" width="8.28515625" style="1" customWidth="1"/>
    <col min="8457" max="8457" width="11.28515625" style="1" customWidth="1"/>
    <col min="8458" max="8458" width="8.5703125" style="1" customWidth="1"/>
    <col min="8459" max="8459" width="9.28515625" style="1" customWidth="1"/>
    <col min="8460" max="8460" width="9.5703125" style="1" customWidth="1"/>
    <col min="8461" max="8461" width="8.85546875" style="1" customWidth="1"/>
    <col min="8462" max="8462" width="8.42578125" style="1" customWidth="1"/>
    <col min="8463" max="8703" width="9.28515625" style="1"/>
    <col min="8704" max="8704" width="8.5703125" style="1" customWidth="1"/>
    <col min="8705" max="8705" width="7.140625" style="1" customWidth="1"/>
    <col min="8706" max="8706" width="42.140625" style="1" customWidth="1"/>
    <col min="8707" max="8708" width="9.140625" style="1" customWidth="1"/>
    <col min="8709" max="8709" width="8.7109375" style="1" customWidth="1"/>
    <col min="8710" max="8711" width="8.42578125" style="1" customWidth="1"/>
    <col min="8712" max="8712" width="8.28515625" style="1" customWidth="1"/>
    <col min="8713" max="8713" width="11.28515625" style="1" customWidth="1"/>
    <col min="8714" max="8714" width="8.5703125" style="1" customWidth="1"/>
    <col min="8715" max="8715" width="9.28515625" style="1" customWidth="1"/>
    <col min="8716" max="8716" width="9.5703125" style="1" customWidth="1"/>
    <col min="8717" max="8717" width="8.85546875" style="1" customWidth="1"/>
    <col min="8718" max="8718" width="8.42578125" style="1" customWidth="1"/>
    <col min="8719" max="8959" width="9.28515625" style="1"/>
    <col min="8960" max="8960" width="8.5703125" style="1" customWidth="1"/>
    <col min="8961" max="8961" width="7.140625" style="1" customWidth="1"/>
    <col min="8962" max="8962" width="42.140625" style="1" customWidth="1"/>
    <col min="8963" max="8964" width="9.140625" style="1" customWidth="1"/>
    <col min="8965" max="8965" width="8.7109375" style="1" customWidth="1"/>
    <col min="8966" max="8967" width="8.42578125" style="1" customWidth="1"/>
    <col min="8968" max="8968" width="8.28515625" style="1" customWidth="1"/>
    <col min="8969" max="8969" width="11.28515625" style="1" customWidth="1"/>
    <col min="8970" max="8970" width="8.5703125" style="1" customWidth="1"/>
    <col min="8971" max="8971" width="9.28515625" style="1" customWidth="1"/>
    <col min="8972" max="8972" width="9.5703125" style="1" customWidth="1"/>
    <col min="8973" max="8973" width="8.85546875" style="1" customWidth="1"/>
    <col min="8974" max="8974" width="8.42578125" style="1" customWidth="1"/>
    <col min="8975" max="9215" width="9.28515625" style="1"/>
    <col min="9216" max="9216" width="8.5703125" style="1" customWidth="1"/>
    <col min="9217" max="9217" width="7.140625" style="1" customWidth="1"/>
    <col min="9218" max="9218" width="42.140625" style="1" customWidth="1"/>
    <col min="9219" max="9220" width="9.140625" style="1" customWidth="1"/>
    <col min="9221" max="9221" width="8.7109375" style="1" customWidth="1"/>
    <col min="9222" max="9223" width="8.42578125" style="1" customWidth="1"/>
    <col min="9224" max="9224" width="8.28515625" style="1" customWidth="1"/>
    <col min="9225" max="9225" width="11.28515625" style="1" customWidth="1"/>
    <col min="9226" max="9226" width="8.5703125" style="1" customWidth="1"/>
    <col min="9227" max="9227" width="9.28515625" style="1" customWidth="1"/>
    <col min="9228" max="9228" width="9.5703125" style="1" customWidth="1"/>
    <col min="9229" max="9229" width="8.85546875" style="1" customWidth="1"/>
    <col min="9230" max="9230" width="8.42578125" style="1" customWidth="1"/>
    <col min="9231" max="9471" width="9.28515625" style="1"/>
    <col min="9472" max="9472" width="8.5703125" style="1" customWidth="1"/>
    <col min="9473" max="9473" width="7.140625" style="1" customWidth="1"/>
    <col min="9474" max="9474" width="42.140625" style="1" customWidth="1"/>
    <col min="9475" max="9476" width="9.140625" style="1" customWidth="1"/>
    <col min="9477" max="9477" width="8.7109375" style="1" customWidth="1"/>
    <col min="9478" max="9479" width="8.42578125" style="1" customWidth="1"/>
    <col min="9480" max="9480" width="8.28515625" style="1" customWidth="1"/>
    <col min="9481" max="9481" width="11.28515625" style="1" customWidth="1"/>
    <col min="9482" max="9482" width="8.5703125" style="1" customWidth="1"/>
    <col min="9483" max="9483" width="9.28515625" style="1" customWidth="1"/>
    <col min="9484" max="9484" width="9.5703125" style="1" customWidth="1"/>
    <col min="9485" max="9485" width="8.85546875" style="1" customWidth="1"/>
    <col min="9486" max="9486" width="8.42578125" style="1" customWidth="1"/>
    <col min="9487" max="9727" width="9.28515625" style="1"/>
    <col min="9728" max="9728" width="8.5703125" style="1" customWidth="1"/>
    <col min="9729" max="9729" width="7.140625" style="1" customWidth="1"/>
    <col min="9730" max="9730" width="42.140625" style="1" customWidth="1"/>
    <col min="9731" max="9732" width="9.140625" style="1" customWidth="1"/>
    <col min="9733" max="9733" width="8.7109375" style="1" customWidth="1"/>
    <col min="9734" max="9735" width="8.42578125" style="1" customWidth="1"/>
    <col min="9736" max="9736" width="8.28515625" style="1" customWidth="1"/>
    <col min="9737" max="9737" width="11.28515625" style="1" customWidth="1"/>
    <col min="9738" max="9738" width="8.5703125" style="1" customWidth="1"/>
    <col min="9739" max="9739" width="9.28515625" style="1" customWidth="1"/>
    <col min="9740" max="9740" width="9.5703125" style="1" customWidth="1"/>
    <col min="9741" max="9741" width="8.85546875" style="1" customWidth="1"/>
    <col min="9742" max="9742" width="8.42578125" style="1" customWidth="1"/>
    <col min="9743" max="9983" width="9.28515625" style="1"/>
    <col min="9984" max="9984" width="8.5703125" style="1" customWidth="1"/>
    <col min="9985" max="9985" width="7.140625" style="1" customWidth="1"/>
    <col min="9986" max="9986" width="42.140625" style="1" customWidth="1"/>
    <col min="9987" max="9988" width="9.140625" style="1" customWidth="1"/>
    <col min="9989" max="9989" width="8.7109375" style="1" customWidth="1"/>
    <col min="9990" max="9991" width="8.42578125" style="1" customWidth="1"/>
    <col min="9992" max="9992" width="8.28515625" style="1" customWidth="1"/>
    <col min="9993" max="9993" width="11.28515625" style="1" customWidth="1"/>
    <col min="9994" max="9994" width="8.5703125" style="1" customWidth="1"/>
    <col min="9995" max="9995" width="9.28515625" style="1" customWidth="1"/>
    <col min="9996" max="9996" width="9.5703125" style="1" customWidth="1"/>
    <col min="9997" max="9997" width="8.85546875" style="1" customWidth="1"/>
    <col min="9998" max="9998" width="8.42578125" style="1" customWidth="1"/>
    <col min="9999" max="10239" width="9.28515625" style="1"/>
    <col min="10240" max="10240" width="8.5703125" style="1" customWidth="1"/>
    <col min="10241" max="10241" width="7.140625" style="1" customWidth="1"/>
    <col min="10242" max="10242" width="42.140625" style="1" customWidth="1"/>
    <col min="10243" max="10244" width="9.140625" style="1" customWidth="1"/>
    <col min="10245" max="10245" width="8.7109375" style="1" customWidth="1"/>
    <col min="10246" max="10247" width="8.42578125" style="1" customWidth="1"/>
    <col min="10248" max="10248" width="8.28515625" style="1" customWidth="1"/>
    <col min="10249" max="10249" width="11.28515625" style="1" customWidth="1"/>
    <col min="10250" max="10250" width="8.5703125" style="1" customWidth="1"/>
    <col min="10251" max="10251" width="9.28515625" style="1" customWidth="1"/>
    <col min="10252" max="10252" width="9.5703125" style="1" customWidth="1"/>
    <col min="10253" max="10253" width="8.85546875" style="1" customWidth="1"/>
    <col min="10254" max="10254" width="8.42578125" style="1" customWidth="1"/>
    <col min="10255" max="10495" width="9.28515625" style="1"/>
    <col min="10496" max="10496" width="8.5703125" style="1" customWidth="1"/>
    <col min="10497" max="10497" width="7.140625" style="1" customWidth="1"/>
    <col min="10498" max="10498" width="42.140625" style="1" customWidth="1"/>
    <col min="10499" max="10500" width="9.140625" style="1" customWidth="1"/>
    <col min="10501" max="10501" width="8.7109375" style="1" customWidth="1"/>
    <col min="10502" max="10503" width="8.42578125" style="1" customWidth="1"/>
    <col min="10504" max="10504" width="8.28515625" style="1" customWidth="1"/>
    <col min="10505" max="10505" width="11.28515625" style="1" customWidth="1"/>
    <col min="10506" max="10506" width="8.5703125" style="1" customWidth="1"/>
    <col min="10507" max="10507" width="9.28515625" style="1" customWidth="1"/>
    <col min="10508" max="10508" width="9.5703125" style="1" customWidth="1"/>
    <col min="10509" max="10509" width="8.85546875" style="1" customWidth="1"/>
    <col min="10510" max="10510" width="8.42578125" style="1" customWidth="1"/>
    <col min="10511" max="10751" width="9.28515625" style="1"/>
    <col min="10752" max="10752" width="8.5703125" style="1" customWidth="1"/>
    <col min="10753" max="10753" width="7.140625" style="1" customWidth="1"/>
    <col min="10754" max="10754" width="42.140625" style="1" customWidth="1"/>
    <col min="10755" max="10756" width="9.140625" style="1" customWidth="1"/>
    <col min="10757" max="10757" width="8.7109375" style="1" customWidth="1"/>
    <col min="10758" max="10759" width="8.42578125" style="1" customWidth="1"/>
    <col min="10760" max="10760" width="8.28515625" style="1" customWidth="1"/>
    <col min="10761" max="10761" width="11.28515625" style="1" customWidth="1"/>
    <col min="10762" max="10762" width="8.5703125" style="1" customWidth="1"/>
    <col min="10763" max="10763" width="9.28515625" style="1" customWidth="1"/>
    <col min="10764" max="10764" width="9.5703125" style="1" customWidth="1"/>
    <col min="10765" max="10765" width="8.85546875" style="1" customWidth="1"/>
    <col min="10766" max="10766" width="8.42578125" style="1" customWidth="1"/>
    <col min="10767" max="11007" width="9.28515625" style="1"/>
    <col min="11008" max="11008" width="8.5703125" style="1" customWidth="1"/>
    <col min="11009" max="11009" width="7.140625" style="1" customWidth="1"/>
    <col min="11010" max="11010" width="42.140625" style="1" customWidth="1"/>
    <col min="11011" max="11012" width="9.140625" style="1" customWidth="1"/>
    <col min="11013" max="11013" width="8.7109375" style="1" customWidth="1"/>
    <col min="11014" max="11015" width="8.42578125" style="1" customWidth="1"/>
    <col min="11016" max="11016" width="8.28515625" style="1" customWidth="1"/>
    <col min="11017" max="11017" width="11.28515625" style="1" customWidth="1"/>
    <col min="11018" max="11018" width="8.5703125" style="1" customWidth="1"/>
    <col min="11019" max="11019" width="9.28515625" style="1" customWidth="1"/>
    <col min="11020" max="11020" width="9.5703125" style="1" customWidth="1"/>
    <col min="11021" max="11021" width="8.85546875" style="1" customWidth="1"/>
    <col min="11022" max="11022" width="8.42578125" style="1" customWidth="1"/>
    <col min="11023" max="11263" width="9.28515625" style="1"/>
    <col min="11264" max="11264" width="8.5703125" style="1" customWidth="1"/>
    <col min="11265" max="11265" width="7.140625" style="1" customWidth="1"/>
    <col min="11266" max="11266" width="42.140625" style="1" customWidth="1"/>
    <col min="11267" max="11268" width="9.140625" style="1" customWidth="1"/>
    <col min="11269" max="11269" width="8.7109375" style="1" customWidth="1"/>
    <col min="11270" max="11271" width="8.42578125" style="1" customWidth="1"/>
    <col min="11272" max="11272" width="8.28515625" style="1" customWidth="1"/>
    <col min="11273" max="11273" width="11.28515625" style="1" customWidth="1"/>
    <col min="11274" max="11274" width="8.5703125" style="1" customWidth="1"/>
    <col min="11275" max="11275" width="9.28515625" style="1" customWidth="1"/>
    <col min="11276" max="11276" width="9.5703125" style="1" customWidth="1"/>
    <col min="11277" max="11277" width="8.85546875" style="1" customWidth="1"/>
    <col min="11278" max="11278" width="8.42578125" style="1" customWidth="1"/>
    <col min="11279" max="11519" width="9.28515625" style="1"/>
    <col min="11520" max="11520" width="8.5703125" style="1" customWidth="1"/>
    <col min="11521" max="11521" width="7.140625" style="1" customWidth="1"/>
    <col min="11522" max="11522" width="42.140625" style="1" customWidth="1"/>
    <col min="11523" max="11524" width="9.140625" style="1" customWidth="1"/>
    <col min="11525" max="11525" width="8.7109375" style="1" customWidth="1"/>
    <col min="11526" max="11527" width="8.42578125" style="1" customWidth="1"/>
    <col min="11528" max="11528" width="8.28515625" style="1" customWidth="1"/>
    <col min="11529" max="11529" width="11.28515625" style="1" customWidth="1"/>
    <col min="11530" max="11530" width="8.5703125" style="1" customWidth="1"/>
    <col min="11531" max="11531" width="9.28515625" style="1" customWidth="1"/>
    <col min="11532" max="11532" width="9.5703125" style="1" customWidth="1"/>
    <col min="11533" max="11533" width="8.85546875" style="1" customWidth="1"/>
    <col min="11534" max="11534" width="8.42578125" style="1" customWidth="1"/>
    <col min="11535" max="11775" width="9.28515625" style="1"/>
    <col min="11776" max="11776" width="8.5703125" style="1" customWidth="1"/>
    <col min="11777" max="11777" width="7.140625" style="1" customWidth="1"/>
    <col min="11778" max="11778" width="42.140625" style="1" customWidth="1"/>
    <col min="11779" max="11780" width="9.140625" style="1" customWidth="1"/>
    <col min="11781" max="11781" width="8.7109375" style="1" customWidth="1"/>
    <col min="11782" max="11783" width="8.42578125" style="1" customWidth="1"/>
    <col min="11784" max="11784" width="8.28515625" style="1" customWidth="1"/>
    <col min="11785" max="11785" width="11.28515625" style="1" customWidth="1"/>
    <col min="11786" max="11786" width="8.5703125" style="1" customWidth="1"/>
    <col min="11787" max="11787" width="9.28515625" style="1" customWidth="1"/>
    <col min="11788" max="11788" width="9.5703125" style="1" customWidth="1"/>
    <col min="11789" max="11789" width="8.85546875" style="1" customWidth="1"/>
    <col min="11790" max="11790" width="8.42578125" style="1" customWidth="1"/>
    <col min="11791" max="12031" width="9.28515625" style="1"/>
    <col min="12032" max="12032" width="8.5703125" style="1" customWidth="1"/>
    <col min="12033" max="12033" width="7.140625" style="1" customWidth="1"/>
    <col min="12034" max="12034" width="42.140625" style="1" customWidth="1"/>
    <col min="12035" max="12036" width="9.140625" style="1" customWidth="1"/>
    <col min="12037" max="12037" width="8.7109375" style="1" customWidth="1"/>
    <col min="12038" max="12039" width="8.42578125" style="1" customWidth="1"/>
    <col min="12040" max="12040" width="8.28515625" style="1" customWidth="1"/>
    <col min="12041" max="12041" width="11.28515625" style="1" customWidth="1"/>
    <col min="12042" max="12042" width="8.5703125" style="1" customWidth="1"/>
    <col min="12043" max="12043" width="9.28515625" style="1" customWidth="1"/>
    <col min="12044" max="12044" width="9.5703125" style="1" customWidth="1"/>
    <col min="12045" max="12045" width="8.85546875" style="1" customWidth="1"/>
    <col min="12046" max="12046" width="8.42578125" style="1" customWidth="1"/>
    <col min="12047" max="12287" width="9.28515625" style="1"/>
    <col min="12288" max="12288" width="8.5703125" style="1" customWidth="1"/>
    <col min="12289" max="12289" width="7.140625" style="1" customWidth="1"/>
    <col min="12290" max="12290" width="42.140625" style="1" customWidth="1"/>
    <col min="12291" max="12292" width="9.140625" style="1" customWidth="1"/>
    <col min="12293" max="12293" width="8.7109375" style="1" customWidth="1"/>
    <col min="12294" max="12295" width="8.42578125" style="1" customWidth="1"/>
    <col min="12296" max="12296" width="8.28515625" style="1" customWidth="1"/>
    <col min="12297" max="12297" width="11.28515625" style="1" customWidth="1"/>
    <col min="12298" max="12298" width="8.5703125" style="1" customWidth="1"/>
    <col min="12299" max="12299" width="9.28515625" style="1" customWidth="1"/>
    <col min="12300" max="12300" width="9.5703125" style="1" customWidth="1"/>
    <col min="12301" max="12301" width="8.85546875" style="1" customWidth="1"/>
    <col min="12302" max="12302" width="8.42578125" style="1" customWidth="1"/>
    <col min="12303" max="12543" width="9.28515625" style="1"/>
    <col min="12544" max="12544" width="8.5703125" style="1" customWidth="1"/>
    <col min="12545" max="12545" width="7.140625" style="1" customWidth="1"/>
    <col min="12546" max="12546" width="42.140625" style="1" customWidth="1"/>
    <col min="12547" max="12548" width="9.140625" style="1" customWidth="1"/>
    <col min="12549" max="12549" width="8.7109375" style="1" customWidth="1"/>
    <col min="12550" max="12551" width="8.42578125" style="1" customWidth="1"/>
    <col min="12552" max="12552" width="8.28515625" style="1" customWidth="1"/>
    <col min="12553" max="12553" width="11.28515625" style="1" customWidth="1"/>
    <col min="12554" max="12554" width="8.5703125" style="1" customWidth="1"/>
    <col min="12555" max="12555" width="9.28515625" style="1" customWidth="1"/>
    <col min="12556" max="12556" width="9.5703125" style="1" customWidth="1"/>
    <col min="12557" max="12557" width="8.85546875" style="1" customWidth="1"/>
    <col min="12558" max="12558" width="8.42578125" style="1" customWidth="1"/>
    <col min="12559" max="12799" width="9.28515625" style="1"/>
    <col min="12800" max="12800" width="8.5703125" style="1" customWidth="1"/>
    <col min="12801" max="12801" width="7.140625" style="1" customWidth="1"/>
    <col min="12802" max="12802" width="42.140625" style="1" customWidth="1"/>
    <col min="12803" max="12804" width="9.140625" style="1" customWidth="1"/>
    <col min="12805" max="12805" width="8.7109375" style="1" customWidth="1"/>
    <col min="12806" max="12807" width="8.42578125" style="1" customWidth="1"/>
    <col min="12808" max="12808" width="8.28515625" style="1" customWidth="1"/>
    <col min="12809" max="12809" width="11.28515625" style="1" customWidth="1"/>
    <col min="12810" max="12810" width="8.5703125" style="1" customWidth="1"/>
    <col min="12811" max="12811" width="9.28515625" style="1" customWidth="1"/>
    <col min="12812" max="12812" width="9.5703125" style="1" customWidth="1"/>
    <col min="12813" max="12813" width="8.85546875" style="1" customWidth="1"/>
    <col min="12814" max="12814" width="8.42578125" style="1" customWidth="1"/>
    <col min="12815" max="13055" width="9.28515625" style="1"/>
    <col min="13056" max="13056" width="8.5703125" style="1" customWidth="1"/>
    <col min="13057" max="13057" width="7.140625" style="1" customWidth="1"/>
    <col min="13058" max="13058" width="42.140625" style="1" customWidth="1"/>
    <col min="13059" max="13060" width="9.140625" style="1" customWidth="1"/>
    <col min="13061" max="13061" width="8.7109375" style="1" customWidth="1"/>
    <col min="13062" max="13063" width="8.42578125" style="1" customWidth="1"/>
    <col min="13064" max="13064" width="8.28515625" style="1" customWidth="1"/>
    <col min="13065" max="13065" width="11.28515625" style="1" customWidth="1"/>
    <col min="13066" max="13066" width="8.5703125" style="1" customWidth="1"/>
    <col min="13067" max="13067" width="9.28515625" style="1" customWidth="1"/>
    <col min="13068" max="13068" width="9.5703125" style="1" customWidth="1"/>
    <col min="13069" max="13069" width="8.85546875" style="1" customWidth="1"/>
    <col min="13070" max="13070" width="8.42578125" style="1" customWidth="1"/>
    <col min="13071" max="13311" width="9.28515625" style="1"/>
    <col min="13312" max="13312" width="8.5703125" style="1" customWidth="1"/>
    <col min="13313" max="13313" width="7.140625" style="1" customWidth="1"/>
    <col min="13314" max="13314" width="42.140625" style="1" customWidth="1"/>
    <col min="13315" max="13316" width="9.140625" style="1" customWidth="1"/>
    <col min="13317" max="13317" width="8.7109375" style="1" customWidth="1"/>
    <col min="13318" max="13319" width="8.42578125" style="1" customWidth="1"/>
    <col min="13320" max="13320" width="8.28515625" style="1" customWidth="1"/>
    <col min="13321" max="13321" width="11.28515625" style="1" customWidth="1"/>
    <col min="13322" max="13322" width="8.5703125" style="1" customWidth="1"/>
    <col min="13323" max="13323" width="9.28515625" style="1" customWidth="1"/>
    <col min="13324" max="13324" width="9.5703125" style="1" customWidth="1"/>
    <col min="13325" max="13325" width="8.85546875" style="1" customWidth="1"/>
    <col min="13326" max="13326" width="8.42578125" style="1" customWidth="1"/>
    <col min="13327" max="13567" width="9.28515625" style="1"/>
    <col min="13568" max="13568" width="8.5703125" style="1" customWidth="1"/>
    <col min="13569" max="13569" width="7.140625" style="1" customWidth="1"/>
    <col min="13570" max="13570" width="42.140625" style="1" customWidth="1"/>
    <col min="13571" max="13572" width="9.140625" style="1" customWidth="1"/>
    <col min="13573" max="13573" width="8.7109375" style="1" customWidth="1"/>
    <col min="13574" max="13575" width="8.42578125" style="1" customWidth="1"/>
    <col min="13576" max="13576" width="8.28515625" style="1" customWidth="1"/>
    <col min="13577" max="13577" width="11.28515625" style="1" customWidth="1"/>
    <col min="13578" max="13578" width="8.5703125" style="1" customWidth="1"/>
    <col min="13579" max="13579" width="9.28515625" style="1" customWidth="1"/>
    <col min="13580" max="13580" width="9.5703125" style="1" customWidth="1"/>
    <col min="13581" max="13581" width="8.85546875" style="1" customWidth="1"/>
    <col min="13582" max="13582" width="8.42578125" style="1" customWidth="1"/>
    <col min="13583" max="13823" width="9.28515625" style="1"/>
    <col min="13824" max="13824" width="8.5703125" style="1" customWidth="1"/>
    <col min="13825" max="13825" width="7.140625" style="1" customWidth="1"/>
    <col min="13826" max="13826" width="42.140625" style="1" customWidth="1"/>
    <col min="13827" max="13828" width="9.140625" style="1" customWidth="1"/>
    <col min="13829" max="13829" width="8.7109375" style="1" customWidth="1"/>
    <col min="13830" max="13831" width="8.42578125" style="1" customWidth="1"/>
    <col min="13832" max="13832" width="8.28515625" style="1" customWidth="1"/>
    <col min="13833" max="13833" width="11.28515625" style="1" customWidth="1"/>
    <col min="13834" max="13834" width="8.5703125" style="1" customWidth="1"/>
    <col min="13835" max="13835" width="9.28515625" style="1" customWidth="1"/>
    <col min="13836" max="13836" width="9.5703125" style="1" customWidth="1"/>
    <col min="13837" max="13837" width="8.85546875" style="1" customWidth="1"/>
    <col min="13838" max="13838" width="8.42578125" style="1" customWidth="1"/>
    <col min="13839" max="14079" width="9.28515625" style="1"/>
    <col min="14080" max="14080" width="8.5703125" style="1" customWidth="1"/>
    <col min="14081" max="14081" width="7.140625" style="1" customWidth="1"/>
    <col min="14082" max="14082" width="42.140625" style="1" customWidth="1"/>
    <col min="14083" max="14084" width="9.140625" style="1" customWidth="1"/>
    <col min="14085" max="14085" width="8.7109375" style="1" customWidth="1"/>
    <col min="14086" max="14087" width="8.42578125" style="1" customWidth="1"/>
    <col min="14088" max="14088" width="8.28515625" style="1" customWidth="1"/>
    <col min="14089" max="14089" width="11.28515625" style="1" customWidth="1"/>
    <col min="14090" max="14090" width="8.5703125" style="1" customWidth="1"/>
    <col min="14091" max="14091" width="9.28515625" style="1" customWidth="1"/>
    <col min="14092" max="14092" width="9.5703125" style="1" customWidth="1"/>
    <col min="14093" max="14093" width="8.85546875" style="1" customWidth="1"/>
    <col min="14094" max="14094" width="8.42578125" style="1" customWidth="1"/>
    <col min="14095" max="14335" width="9.28515625" style="1"/>
    <col min="14336" max="14336" width="8.5703125" style="1" customWidth="1"/>
    <col min="14337" max="14337" width="7.140625" style="1" customWidth="1"/>
    <col min="14338" max="14338" width="42.140625" style="1" customWidth="1"/>
    <col min="14339" max="14340" width="9.140625" style="1" customWidth="1"/>
    <col min="14341" max="14341" width="8.7109375" style="1" customWidth="1"/>
    <col min="14342" max="14343" width="8.42578125" style="1" customWidth="1"/>
    <col min="14344" max="14344" width="8.28515625" style="1" customWidth="1"/>
    <col min="14345" max="14345" width="11.28515625" style="1" customWidth="1"/>
    <col min="14346" max="14346" width="8.5703125" style="1" customWidth="1"/>
    <col min="14347" max="14347" width="9.28515625" style="1" customWidth="1"/>
    <col min="14348" max="14348" width="9.5703125" style="1" customWidth="1"/>
    <col min="14349" max="14349" width="8.85546875" style="1" customWidth="1"/>
    <col min="14350" max="14350" width="8.42578125" style="1" customWidth="1"/>
    <col min="14351" max="14591" width="9.28515625" style="1"/>
    <col min="14592" max="14592" width="8.5703125" style="1" customWidth="1"/>
    <col min="14593" max="14593" width="7.140625" style="1" customWidth="1"/>
    <col min="14594" max="14594" width="42.140625" style="1" customWidth="1"/>
    <col min="14595" max="14596" width="9.140625" style="1" customWidth="1"/>
    <col min="14597" max="14597" width="8.7109375" style="1" customWidth="1"/>
    <col min="14598" max="14599" width="8.42578125" style="1" customWidth="1"/>
    <col min="14600" max="14600" width="8.28515625" style="1" customWidth="1"/>
    <col min="14601" max="14601" width="11.28515625" style="1" customWidth="1"/>
    <col min="14602" max="14602" width="8.5703125" style="1" customWidth="1"/>
    <col min="14603" max="14603" width="9.28515625" style="1" customWidth="1"/>
    <col min="14604" max="14604" width="9.5703125" style="1" customWidth="1"/>
    <col min="14605" max="14605" width="8.85546875" style="1" customWidth="1"/>
    <col min="14606" max="14606" width="8.42578125" style="1" customWidth="1"/>
    <col min="14607" max="14847" width="9.28515625" style="1"/>
    <col min="14848" max="14848" width="8.5703125" style="1" customWidth="1"/>
    <col min="14849" max="14849" width="7.140625" style="1" customWidth="1"/>
    <col min="14850" max="14850" width="42.140625" style="1" customWidth="1"/>
    <col min="14851" max="14852" width="9.140625" style="1" customWidth="1"/>
    <col min="14853" max="14853" width="8.7109375" style="1" customWidth="1"/>
    <col min="14854" max="14855" width="8.42578125" style="1" customWidth="1"/>
    <col min="14856" max="14856" width="8.28515625" style="1" customWidth="1"/>
    <col min="14857" max="14857" width="11.28515625" style="1" customWidth="1"/>
    <col min="14858" max="14858" width="8.5703125" style="1" customWidth="1"/>
    <col min="14859" max="14859" width="9.28515625" style="1" customWidth="1"/>
    <col min="14860" max="14860" width="9.5703125" style="1" customWidth="1"/>
    <col min="14861" max="14861" width="8.85546875" style="1" customWidth="1"/>
    <col min="14862" max="14862" width="8.42578125" style="1" customWidth="1"/>
    <col min="14863" max="15103" width="9.28515625" style="1"/>
    <col min="15104" max="15104" width="8.5703125" style="1" customWidth="1"/>
    <col min="15105" max="15105" width="7.140625" style="1" customWidth="1"/>
    <col min="15106" max="15106" width="42.140625" style="1" customWidth="1"/>
    <col min="15107" max="15108" width="9.140625" style="1" customWidth="1"/>
    <col min="15109" max="15109" width="8.7109375" style="1" customWidth="1"/>
    <col min="15110" max="15111" width="8.42578125" style="1" customWidth="1"/>
    <col min="15112" max="15112" width="8.28515625" style="1" customWidth="1"/>
    <col min="15113" max="15113" width="11.28515625" style="1" customWidth="1"/>
    <col min="15114" max="15114" width="8.5703125" style="1" customWidth="1"/>
    <col min="15115" max="15115" width="9.28515625" style="1" customWidth="1"/>
    <col min="15116" max="15116" width="9.5703125" style="1" customWidth="1"/>
    <col min="15117" max="15117" width="8.85546875" style="1" customWidth="1"/>
    <col min="15118" max="15118" width="8.42578125" style="1" customWidth="1"/>
    <col min="15119" max="15359" width="9.28515625" style="1"/>
    <col min="15360" max="15360" width="8.5703125" style="1" customWidth="1"/>
    <col min="15361" max="15361" width="7.140625" style="1" customWidth="1"/>
    <col min="15362" max="15362" width="42.140625" style="1" customWidth="1"/>
    <col min="15363" max="15364" width="9.140625" style="1" customWidth="1"/>
    <col min="15365" max="15365" width="8.7109375" style="1" customWidth="1"/>
    <col min="15366" max="15367" width="8.42578125" style="1" customWidth="1"/>
    <col min="15368" max="15368" width="8.28515625" style="1" customWidth="1"/>
    <col min="15369" max="15369" width="11.28515625" style="1" customWidth="1"/>
    <col min="15370" max="15370" width="8.5703125" style="1" customWidth="1"/>
    <col min="15371" max="15371" width="9.28515625" style="1" customWidth="1"/>
    <col min="15372" max="15372" width="9.5703125" style="1" customWidth="1"/>
    <col min="15373" max="15373" width="8.85546875" style="1" customWidth="1"/>
    <col min="15374" max="15374" width="8.42578125" style="1" customWidth="1"/>
    <col min="15375" max="15615" width="9.28515625" style="1"/>
    <col min="15616" max="15616" width="8.5703125" style="1" customWidth="1"/>
    <col min="15617" max="15617" width="7.140625" style="1" customWidth="1"/>
    <col min="15618" max="15618" width="42.140625" style="1" customWidth="1"/>
    <col min="15619" max="15620" width="9.140625" style="1" customWidth="1"/>
    <col min="15621" max="15621" width="8.7109375" style="1" customWidth="1"/>
    <col min="15622" max="15623" width="8.42578125" style="1" customWidth="1"/>
    <col min="15624" max="15624" width="8.28515625" style="1" customWidth="1"/>
    <col min="15625" max="15625" width="11.28515625" style="1" customWidth="1"/>
    <col min="15626" max="15626" width="8.5703125" style="1" customWidth="1"/>
    <col min="15627" max="15627" width="9.28515625" style="1" customWidth="1"/>
    <col min="15628" max="15628" width="9.5703125" style="1" customWidth="1"/>
    <col min="15629" max="15629" width="8.85546875" style="1" customWidth="1"/>
    <col min="15630" max="15630" width="8.42578125" style="1" customWidth="1"/>
    <col min="15631" max="15871" width="9.28515625" style="1"/>
    <col min="15872" max="15872" width="8.5703125" style="1" customWidth="1"/>
    <col min="15873" max="15873" width="7.140625" style="1" customWidth="1"/>
    <col min="15874" max="15874" width="42.140625" style="1" customWidth="1"/>
    <col min="15875" max="15876" width="9.140625" style="1" customWidth="1"/>
    <col min="15877" max="15877" width="8.7109375" style="1" customWidth="1"/>
    <col min="15878" max="15879" width="8.42578125" style="1" customWidth="1"/>
    <col min="15880" max="15880" width="8.28515625" style="1" customWidth="1"/>
    <col min="15881" max="15881" width="11.28515625" style="1" customWidth="1"/>
    <col min="15882" max="15882" width="8.5703125" style="1" customWidth="1"/>
    <col min="15883" max="15883" width="9.28515625" style="1" customWidth="1"/>
    <col min="15884" max="15884" width="9.5703125" style="1" customWidth="1"/>
    <col min="15885" max="15885" width="8.85546875" style="1" customWidth="1"/>
    <col min="15886" max="15886" width="8.42578125" style="1" customWidth="1"/>
    <col min="15887" max="16127" width="9.28515625" style="1"/>
    <col min="16128" max="16128" width="8.5703125" style="1" customWidth="1"/>
    <col min="16129" max="16129" width="7.140625" style="1" customWidth="1"/>
    <col min="16130" max="16130" width="42.140625" style="1" customWidth="1"/>
    <col min="16131" max="16132" width="9.140625" style="1" customWidth="1"/>
    <col min="16133" max="16133" width="8.7109375" style="1" customWidth="1"/>
    <col min="16134" max="16135" width="8.42578125" style="1" customWidth="1"/>
    <col min="16136" max="16136" width="8.28515625" style="1" customWidth="1"/>
    <col min="16137" max="16137" width="11.28515625" style="1" customWidth="1"/>
    <col min="16138" max="16138" width="8.5703125" style="1" customWidth="1"/>
    <col min="16139" max="16139" width="9.28515625" style="1" customWidth="1"/>
    <col min="16140" max="16140" width="9.5703125" style="1" customWidth="1"/>
    <col min="16141" max="16141" width="8.85546875" style="1" customWidth="1"/>
    <col min="16142" max="16142" width="8.42578125" style="1" customWidth="1"/>
    <col min="16143" max="16384" width="9.28515625" style="1"/>
  </cols>
  <sheetData>
    <row r="1" spans="1:14" x14ac:dyDescent="0.25">
      <c r="B1" s="179" t="s">
        <v>0</v>
      </c>
      <c r="G1" s="6"/>
      <c r="H1" s="6"/>
      <c r="L1" s="6" t="s">
        <v>572</v>
      </c>
    </row>
    <row r="2" spans="1:14" x14ac:dyDescent="0.25">
      <c r="A2" s="186" t="s">
        <v>309</v>
      </c>
      <c r="B2" s="186"/>
      <c r="C2" s="370"/>
      <c r="D2" s="370"/>
      <c r="E2" s="448"/>
      <c r="G2" s="6"/>
      <c r="H2" s="6"/>
    </row>
    <row r="3" spans="1:14" ht="29.25" x14ac:dyDescent="0.25">
      <c r="B3" s="127" t="s">
        <v>455</v>
      </c>
      <c r="G3" s="6"/>
      <c r="H3" s="6"/>
    </row>
    <row r="4" spans="1:14" s="11" customFormat="1" x14ac:dyDescent="0.25">
      <c r="A4" s="373" t="s">
        <v>310</v>
      </c>
      <c r="B4" s="374"/>
      <c r="C4" s="110" t="s">
        <v>311</v>
      </c>
      <c r="D4" s="110" t="s">
        <v>312</v>
      </c>
      <c r="E4" s="110" t="s">
        <v>408</v>
      </c>
      <c r="F4" s="126" t="s">
        <v>313</v>
      </c>
      <c r="G4" s="126" t="s">
        <v>314</v>
      </c>
      <c r="H4" s="126" t="s">
        <v>315</v>
      </c>
      <c r="I4" s="126" t="s">
        <v>316</v>
      </c>
      <c r="J4" s="126" t="s">
        <v>317</v>
      </c>
      <c r="K4" s="126" t="s">
        <v>446</v>
      </c>
      <c r="L4" s="126" t="s">
        <v>318</v>
      </c>
      <c r="M4" s="126" t="s">
        <v>449</v>
      </c>
      <c r="N4" s="126" t="s">
        <v>319</v>
      </c>
    </row>
    <row r="5" spans="1:14" s="8" customFormat="1" ht="90.75" thickBot="1" x14ac:dyDescent="0.3">
      <c r="B5" s="127"/>
      <c r="C5" s="372" t="s">
        <v>320</v>
      </c>
      <c r="D5" s="128" t="s">
        <v>321</v>
      </c>
      <c r="E5" s="128" t="s">
        <v>409</v>
      </c>
      <c r="F5" s="128" t="s">
        <v>322</v>
      </c>
      <c r="G5" s="112" t="s">
        <v>323</v>
      </c>
      <c r="H5" s="199" t="s">
        <v>324</v>
      </c>
      <c r="I5" s="112" t="s">
        <v>325</v>
      </c>
      <c r="J5" s="112" t="s">
        <v>326</v>
      </c>
      <c r="K5" s="112" t="s">
        <v>447</v>
      </c>
      <c r="L5" s="112" t="s">
        <v>327</v>
      </c>
      <c r="M5" s="112" t="s">
        <v>448</v>
      </c>
      <c r="N5" s="112" t="s">
        <v>328</v>
      </c>
    </row>
    <row r="6" spans="1:14" ht="32.25" customHeight="1" thickBot="1" x14ac:dyDescent="0.3">
      <c r="A6" s="375" t="s">
        <v>7</v>
      </c>
      <c r="B6" s="376" t="s">
        <v>10</v>
      </c>
      <c r="C6" s="65" t="s">
        <v>456</v>
      </c>
      <c r="D6" s="65" t="s">
        <v>456</v>
      </c>
      <c r="E6" s="65" t="s">
        <v>456</v>
      </c>
      <c r="F6" s="65" t="s">
        <v>456</v>
      </c>
      <c r="G6" s="65" t="s">
        <v>456</v>
      </c>
      <c r="H6" s="65" t="s">
        <v>456</v>
      </c>
      <c r="I6" s="830" t="s">
        <v>456</v>
      </c>
      <c r="J6" s="64" t="s">
        <v>456</v>
      </c>
      <c r="K6" s="65" t="s">
        <v>456</v>
      </c>
      <c r="L6" s="65" t="s">
        <v>456</v>
      </c>
      <c r="M6" s="65" t="s">
        <v>456</v>
      </c>
      <c r="N6" s="65" t="s">
        <v>456</v>
      </c>
    </row>
    <row r="7" spans="1:14" x14ac:dyDescent="0.25">
      <c r="A7" s="168">
        <v>1100</v>
      </c>
      <c r="B7" s="180" t="s">
        <v>11</v>
      </c>
      <c r="C7" s="377"/>
      <c r="D7" s="428">
        <f>39440+14874</f>
        <v>54314</v>
      </c>
      <c r="E7" s="449"/>
      <c r="F7" s="378"/>
      <c r="G7" s="379"/>
      <c r="H7" s="189"/>
      <c r="I7" s="831"/>
      <c r="J7" s="380"/>
      <c r="K7" s="381"/>
      <c r="L7" s="380"/>
      <c r="M7" s="484"/>
      <c r="N7" s="182"/>
    </row>
    <row r="8" spans="1:14" ht="45" x14ac:dyDescent="0.25">
      <c r="A8" s="71">
        <v>1200</v>
      </c>
      <c r="B8" s="72" t="s">
        <v>12</v>
      </c>
      <c r="C8" s="382"/>
      <c r="D8" s="382">
        <f>12053+3509</f>
        <v>15562</v>
      </c>
      <c r="E8" s="382"/>
      <c r="F8" s="73"/>
      <c r="G8" s="143"/>
      <c r="H8" s="73"/>
      <c r="I8" s="832"/>
      <c r="J8" s="81"/>
      <c r="K8" s="204"/>
      <c r="L8" s="81"/>
      <c r="M8" s="81"/>
      <c r="N8" s="73"/>
    </row>
    <row r="9" spans="1:14" x14ac:dyDescent="0.25">
      <c r="A9" s="71">
        <v>2000</v>
      </c>
      <c r="B9" s="72" t="s">
        <v>13</v>
      </c>
      <c r="C9" s="148"/>
      <c r="D9" s="141">
        <f>SUM(D10+D11+D12+D13+D14)</f>
        <v>57065</v>
      </c>
      <c r="E9" s="141">
        <f>SUM(E10+E11+E12+E13+E14)</f>
        <v>0</v>
      </c>
      <c r="F9" s="148">
        <f t="shared" ref="F9:N9" si="0">SUM(F10+F11+F12+F13+F14)</f>
        <v>65000</v>
      </c>
      <c r="G9" s="148">
        <f t="shared" si="0"/>
        <v>64467</v>
      </c>
      <c r="H9" s="148">
        <f t="shared" si="0"/>
        <v>20369</v>
      </c>
      <c r="I9" s="143">
        <f t="shared" si="0"/>
        <v>23600</v>
      </c>
      <c r="J9" s="115">
        <f t="shared" si="0"/>
        <v>0</v>
      </c>
      <c r="K9" s="148"/>
      <c r="L9" s="148">
        <f t="shared" si="0"/>
        <v>50000</v>
      </c>
      <c r="M9" s="148">
        <f t="shared" si="0"/>
        <v>302232</v>
      </c>
      <c r="N9" s="148">
        <f t="shared" si="0"/>
        <v>0</v>
      </c>
    </row>
    <row r="10" spans="1:14" ht="30" x14ac:dyDescent="0.25">
      <c r="A10" s="71">
        <v>2100</v>
      </c>
      <c r="B10" s="72" t="s">
        <v>329</v>
      </c>
      <c r="C10" s="383"/>
      <c r="D10" s="383">
        <v>760</v>
      </c>
      <c r="E10" s="383"/>
      <c r="F10" s="115"/>
      <c r="G10" s="143"/>
      <c r="H10" s="115"/>
      <c r="I10" s="475"/>
      <c r="J10" s="142"/>
      <c r="K10" s="149"/>
      <c r="L10" s="142"/>
      <c r="M10" s="142"/>
      <c r="N10" s="115"/>
    </row>
    <row r="11" spans="1:14" x14ac:dyDescent="0.25">
      <c r="A11" s="71">
        <v>2200</v>
      </c>
      <c r="B11" s="72" t="s">
        <v>15</v>
      </c>
      <c r="C11" s="383"/>
      <c r="D11" s="382">
        <v>41432</v>
      </c>
      <c r="E11" s="382"/>
      <c r="F11" s="115">
        <v>55000</v>
      </c>
      <c r="G11" s="143">
        <v>13317</v>
      </c>
      <c r="H11" s="115">
        <v>17561</v>
      </c>
      <c r="I11" s="475">
        <v>23600</v>
      </c>
      <c r="J11" s="142"/>
      <c r="K11" s="149"/>
      <c r="L11" s="142"/>
      <c r="M11" s="142"/>
      <c r="N11" s="115"/>
    </row>
    <row r="12" spans="1:14" s="12" customFormat="1" ht="30" x14ac:dyDescent="0.25">
      <c r="A12" s="71">
        <v>2300</v>
      </c>
      <c r="B12" s="72" t="s">
        <v>16</v>
      </c>
      <c r="C12" s="383"/>
      <c r="D12" s="383">
        <f>14295+600-22</f>
        <v>14873</v>
      </c>
      <c r="E12" s="383"/>
      <c r="F12" s="115"/>
      <c r="G12" s="143"/>
      <c r="H12" s="115">
        <v>2808</v>
      </c>
      <c r="I12" s="475"/>
      <c r="J12" s="142"/>
      <c r="K12" s="149"/>
      <c r="L12" s="142">
        <v>50000</v>
      </c>
      <c r="M12" s="142">
        <v>302232</v>
      </c>
      <c r="N12" s="115"/>
    </row>
    <row r="13" spans="1:14" x14ac:dyDescent="0.25">
      <c r="A13" s="71">
        <v>2400</v>
      </c>
      <c r="B13" s="140" t="s">
        <v>60</v>
      </c>
      <c r="C13" s="383"/>
      <c r="D13" s="383"/>
      <c r="E13" s="383"/>
      <c r="F13" s="115"/>
      <c r="G13" s="143"/>
      <c r="H13" s="115"/>
      <c r="I13" s="475"/>
      <c r="J13" s="142"/>
      <c r="K13" s="149"/>
      <c r="L13" s="142"/>
      <c r="M13" s="142"/>
      <c r="N13" s="115"/>
    </row>
    <row r="14" spans="1:14" ht="30" x14ac:dyDescent="0.25">
      <c r="A14" s="203">
        <v>2500</v>
      </c>
      <c r="B14" s="72" t="s">
        <v>308</v>
      </c>
      <c r="C14" s="148"/>
      <c r="D14" s="148"/>
      <c r="E14" s="148"/>
      <c r="F14" s="115">
        <v>10000</v>
      </c>
      <c r="G14" s="144">
        <v>51150</v>
      </c>
      <c r="H14" s="115"/>
      <c r="I14" s="143"/>
      <c r="J14" s="115"/>
      <c r="K14" s="148"/>
      <c r="L14" s="115"/>
      <c r="M14" s="115"/>
      <c r="N14" s="115"/>
    </row>
    <row r="15" spans="1:14" ht="30" x14ac:dyDescent="0.25">
      <c r="A15" s="162">
        <v>3200</v>
      </c>
      <c r="B15" s="72" t="s">
        <v>18</v>
      </c>
      <c r="C15" s="148"/>
      <c r="D15" s="148"/>
      <c r="E15" s="148"/>
      <c r="F15" s="115"/>
      <c r="G15" s="144"/>
      <c r="H15" s="115"/>
      <c r="I15" s="143"/>
      <c r="J15" s="142">
        <v>221000</v>
      </c>
      <c r="K15" s="149">
        <f>280000-10518</f>
        <v>269482</v>
      </c>
      <c r="L15" s="115"/>
      <c r="M15" s="115"/>
      <c r="N15" s="115"/>
    </row>
    <row r="16" spans="1:14" x14ac:dyDescent="0.25">
      <c r="A16" s="71">
        <v>4200</v>
      </c>
      <c r="B16" s="72" t="s">
        <v>19</v>
      </c>
      <c r="C16" s="148"/>
      <c r="D16" s="148"/>
      <c r="E16" s="148"/>
      <c r="F16" s="115"/>
      <c r="G16" s="143"/>
      <c r="H16" s="115"/>
      <c r="I16" s="475"/>
      <c r="J16" s="142"/>
      <c r="K16" s="149"/>
      <c r="L16" s="142"/>
      <c r="M16" s="142"/>
      <c r="N16" s="115"/>
    </row>
    <row r="17" spans="1:14" x14ac:dyDescent="0.25">
      <c r="A17" s="71">
        <v>4300</v>
      </c>
      <c r="B17" s="72" t="s">
        <v>20</v>
      </c>
      <c r="C17" s="148"/>
      <c r="D17" s="148"/>
      <c r="E17" s="148"/>
      <c r="F17" s="115"/>
      <c r="G17" s="143"/>
      <c r="H17" s="115"/>
      <c r="I17" s="475"/>
      <c r="J17" s="142"/>
      <c r="K17" s="149"/>
      <c r="L17" s="142"/>
      <c r="M17" s="142"/>
      <c r="N17" s="115"/>
    </row>
    <row r="18" spans="1:14" x14ac:dyDescent="0.25">
      <c r="A18" s="71">
        <v>5100</v>
      </c>
      <c r="B18" s="72" t="s">
        <v>22</v>
      </c>
      <c r="C18" s="148"/>
      <c r="D18" s="148"/>
      <c r="E18" s="148"/>
      <c r="F18" s="115"/>
      <c r="G18" s="143"/>
      <c r="H18" s="115"/>
      <c r="I18" s="475"/>
      <c r="J18" s="142"/>
      <c r="K18" s="149"/>
      <c r="L18" s="142"/>
      <c r="M18" s="142"/>
      <c r="N18" s="115"/>
    </row>
    <row r="19" spans="1:14" x14ac:dyDescent="0.25">
      <c r="A19" s="71">
        <v>5200</v>
      </c>
      <c r="B19" s="72" t="s">
        <v>23</v>
      </c>
      <c r="C19" s="148"/>
      <c r="D19" s="148">
        <f>1000+22+971</f>
        <v>1993</v>
      </c>
      <c r="E19" s="149">
        <f>64753+7183</f>
        <v>71936</v>
      </c>
      <c r="F19" s="115"/>
      <c r="G19" s="143"/>
      <c r="H19" s="115"/>
      <c r="I19" s="475"/>
      <c r="J19" s="142"/>
      <c r="K19" s="149"/>
      <c r="L19" s="142"/>
      <c r="M19" s="142"/>
      <c r="N19" s="115"/>
    </row>
    <row r="20" spans="1:14" x14ac:dyDescent="0.25">
      <c r="A20" s="162">
        <v>6200</v>
      </c>
      <c r="B20" s="72" t="s">
        <v>24</v>
      </c>
      <c r="C20" s="148"/>
      <c r="D20" s="148"/>
      <c r="E20" s="148"/>
      <c r="F20" s="148"/>
      <c r="G20" s="148"/>
      <c r="H20" s="148"/>
      <c r="I20" s="143"/>
      <c r="J20" s="115"/>
      <c r="K20" s="148"/>
      <c r="L20" s="148"/>
      <c r="M20" s="148"/>
      <c r="N20" s="149">
        <v>85000</v>
      </c>
    </row>
    <row r="21" spans="1:14" ht="15.75" thickBot="1" x14ac:dyDescent="0.3">
      <c r="A21" s="386">
        <v>7200</v>
      </c>
      <c r="B21" s="389" t="s">
        <v>25</v>
      </c>
      <c r="C21" s="212">
        <f>150000-50000</f>
        <v>100000</v>
      </c>
      <c r="D21" s="212"/>
      <c r="E21" s="212"/>
      <c r="F21" s="213"/>
      <c r="G21" s="384"/>
      <c r="H21" s="213"/>
      <c r="I21" s="7"/>
      <c r="J21" s="213"/>
      <c r="K21" s="212"/>
      <c r="L21" s="213"/>
      <c r="M21" s="213"/>
      <c r="N21" s="213"/>
    </row>
    <row r="22" spans="1:14" ht="15.75" thickBot="1" x14ac:dyDescent="0.3">
      <c r="A22" s="62"/>
      <c r="B22" s="185" t="s">
        <v>26</v>
      </c>
      <c r="C22" s="387">
        <f t="shared" ref="C22:N22" si="1">SUM(C7+C8+C9+C15+C16+C17+C18+C19+C20+C21)</f>
        <v>100000</v>
      </c>
      <c r="D22" s="387">
        <f t="shared" si="1"/>
        <v>128934</v>
      </c>
      <c r="E22" s="387">
        <f t="shared" si="1"/>
        <v>71936</v>
      </c>
      <c r="F22" s="387">
        <f t="shared" si="1"/>
        <v>65000</v>
      </c>
      <c r="G22" s="387">
        <f t="shared" si="1"/>
        <v>64467</v>
      </c>
      <c r="H22" s="387">
        <f t="shared" si="1"/>
        <v>20369</v>
      </c>
      <c r="I22" s="833">
        <f t="shared" si="1"/>
        <v>23600</v>
      </c>
      <c r="J22" s="834">
        <f t="shared" si="1"/>
        <v>221000</v>
      </c>
      <c r="K22" s="387">
        <f t="shared" si="1"/>
        <v>269482</v>
      </c>
      <c r="L22" s="387">
        <f t="shared" si="1"/>
        <v>50000</v>
      </c>
      <c r="M22" s="387">
        <f t="shared" si="1"/>
        <v>302232</v>
      </c>
      <c r="N22" s="388">
        <f t="shared" si="1"/>
        <v>85000</v>
      </c>
    </row>
    <row r="23" spans="1:14" x14ac:dyDescent="0.25">
      <c r="B23" s="385"/>
      <c r="G23" s="10"/>
      <c r="H23" s="10"/>
      <c r="I23" s="10"/>
      <c r="J23" s="10"/>
      <c r="K23" s="10"/>
      <c r="L23" s="10"/>
      <c r="M23" s="10"/>
      <c r="N23" s="10"/>
    </row>
    <row r="24" spans="1:14" x14ac:dyDescent="0.25">
      <c r="B24" s="8" t="s">
        <v>149</v>
      </c>
      <c r="C24" s="217"/>
      <c r="D24" s="217"/>
      <c r="E24" s="217"/>
      <c r="F24" s="1" t="s">
        <v>41</v>
      </c>
      <c r="G24" s="371"/>
      <c r="H24" s="371"/>
      <c r="I24" s="371"/>
      <c r="J24" s="371"/>
      <c r="K24" s="466"/>
      <c r="L24" s="371"/>
      <c r="M24" s="466"/>
    </row>
  </sheetData>
  <pageMargins left="0.7" right="0.7" top="0.75" bottom="0.75" header="0.3" footer="0.3"/>
  <pageSetup paperSize="9" scale="8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7"/>
  <sheetViews>
    <sheetView workbookViewId="0">
      <selection activeCell="M65" sqref="M65"/>
    </sheetView>
  </sheetViews>
  <sheetFormatPr defaultRowHeight="15.75" x14ac:dyDescent="0.25"/>
  <cols>
    <col min="2" max="2" width="6.28515625" customWidth="1"/>
    <col min="3" max="3" width="31" style="330" customWidth="1"/>
    <col min="4" max="4" width="15.85546875" customWidth="1"/>
    <col min="5" max="5" width="9.5703125" style="329" customWidth="1"/>
    <col min="6" max="6" width="11.140625" style="561" customWidth="1"/>
    <col min="7" max="7" width="9.28515625" style="561" customWidth="1"/>
    <col min="8" max="8" width="8" style="561" customWidth="1"/>
  </cols>
  <sheetData>
    <row r="1" spans="2:9" x14ac:dyDescent="0.25">
      <c r="G1" s="2" t="s">
        <v>572</v>
      </c>
      <c r="H1" s="1"/>
      <c r="I1" s="1"/>
    </row>
    <row r="2" spans="2:9" x14ac:dyDescent="0.25">
      <c r="B2" s="1039" t="s">
        <v>56</v>
      </c>
      <c r="C2" s="1039"/>
      <c r="D2" s="1039"/>
      <c r="E2" s="1039"/>
      <c r="F2" s="920"/>
    </row>
    <row r="3" spans="2:9" x14ac:dyDescent="0.25">
      <c r="B3" s="1040" t="s">
        <v>461</v>
      </c>
      <c r="C3" s="1040"/>
      <c r="D3" s="1040"/>
      <c r="E3" s="1040"/>
      <c r="F3" s="266"/>
    </row>
    <row r="4" spans="2:9" x14ac:dyDescent="0.25">
      <c r="B4" s="1041" t="s">
        <v>500</v>
      </c>
      <c r="C4" s="1041"/>
      <c r="D4" s="1041"/>
      <c r="E4" s="1041"/>
      <c r="F4" s="267"/>
    </row>
    <row r="5" spans="2:9" x14ac:dyDescent="0.25">
      <c r="B5" s="44" t="s">
        <v>366</v>
      </c>
      <c r="C5" s="44"/>
      <c r="D5" s="44"/>
      <c r="E5" s="44"/>
      <c r="F5" s="268"/>
    </row>
    <row r="6" spans="2:9" x14ac:dyDescent="0.25">
      <c r="B6" s="1042"/>
      <c r="C6" s="1042"/>
      <c r="D6" s="1042"/>
      <c r="E6" s="1042"/>
      <c r="F6" s="53"/>
    </row>
    <row r="7" spans="2:9" ht="18.75" customHeight="1" x14ac:dyDescent="0.25">
      <c r="B7" s="1"/>
      <c r="C7" s="1038" t="s">
        <v>571</v>
      </c>
      <c r="D7" s="1038"/>
      <c r="E7" s="1038"/>
      <c r="F7" s="1038"/>
      <c r="G7" s="1038"/>
      <c r="H7" s="919"/>
    </row>
    <row r="8" spans="2:9" x14ac:dyDescent="0.25">
      <c r="B8" s="18"/>
      <c r="C8" s="928"/>
      <c r="D8" s="929"/>
      <c r="E8" s="930"/>
      <c r="F8" s="931">
        <v>2200</v>
      </c>
      <c r="G8" s="931">
        <v>3200</v>
      </c>
      <c r="H8" s="580"/>
    </row>
    <row r="9" spans="2:9" ht="60" x14ac:dyDescent="0.25">
      <c r="B9" s="18"/>
      <c r="C9" s="928"/>
      <c r="D9" s="929"/>
      <c r="E9" s="932">
        <v>2021</v>
      </c>
      <c r="F9" s="929" t="s">
        <v>602</v>
      </c>
      <c r="G9" s="929" t="s">
        <v>476</v>
      </c>
      <c r="H9" s="581"/>
    </row>
    <row r="10" spans="2:9" ht="15.75" customHeight="1" x14ac:dyDescent="0.25">
      <c r="B10" s="18"/>
      <c r="C10" s="933" t="s">
        <v>477</v>
      </c>
      <c r="D10" s="934" t="s">
        <v>109</v>
      </c>
      <c r="E10" s="935"/>
      <c r="F10" s="935"/>
      <c r="G10" s="935"/>
      <c r="H10" s="584"/>
    </row>
    <row r="11" spans="2:9" ht="15.95" customHeight="1" x14ac:dyDescent="0.25">
      <c r="B11" s="18">
        <v>1</v>
      </c>
      <c r="C11" s="928" t="s">
        <v>113</v>
      </c>
      <c r="D11" s="929" t="s">
        <v>74</v>
      </c>
      <c r="E11" s="929">
        <v>4000</v>
      </c>
      <c r="F11" s="929"/>
      <c r="G11" s="929">
        <v>4000</v>
      </c>
      <c r="H11" s="582"/>
    </row>
    <row r="12" spans="2:9" ht="15.95" customHeight="1" x14ac:dyDescent="0.25">
      <c r="B12" s="18">
        <v>2</v>
      </c>
      <c r="C12" s="936" t="s">
        <v>157</v>
      </c>
      <c r="D12" s="937" t="s">
        <v>114</v>
      </c>
      <c r="E12" s="938">
        <v>700</v>
      </c>
      <c r="F12" s="938"/>
      <c r="G12" s="938">
        <v>700</v>
      </c>
      <c r="H12" s="582"/>
    </row>
    <row r="13" spans="2:9" ht="15.95" customHeight="1" x14ac:dyDescent="0.25">
      <c r="B13" s="18">
        <v>3</v>
      </c>
      <c r="C13" s="928" t="s">
        <v>130</v>
      </c>
      <c r="D13" s="929" t="s">
        <v>158</v>
      </c>
      <c r="E13" s="938">
        <v>1300</v>
      </c>
      <c r="F13" s="938"/>
      <c r="G13" s="938">
        <v>1300</v>
      </c>
      <c r="H13" s="582"/>
    </row>
    <row r="14" spans="2:9" ht="15.95" customHeight="1" x14ac:dyDescent="0.25">
      <c r="B14" s="18">
        <v>4</v>
      </c>
      <c r="C14" s="928" t="s">
        <v>131</v>
      </c>
      <c r="D14" s="929" t="s">
        <v>110</v>
      </c>
      <c r="E14" s="938">
        <v>600</v>
      </c>
      <c r="F14" s="938"/>
      <c r="G14" s="938">
        <v>600</v>
      </c>
      <c r="H14" s="582"/>
    </row>
    <row r="15" spans="2:9" ht="15.95" customHeight="1" x14ac:dyDescent="0.25">
      <c r="B15" s="18">
        <v>5</v>
      </c>
      <c r="C15" s="928" t="s">
        <v>132</v>
      </c>
      <c r="D15" s="929" t="s">
        <v>70</v>
      </c>
      <c r="E15" s="938">
        <v>600</v>
      </c>
      <c r="F15" s="938"/>
      <c r="G15" s="938">
        <v>600</v>
      </c>
      <c r="H15" s="582"/>
    </row>
    <row r="16" spans="2:9" ht="15.95" customHeight="1" x14ac:dyDescent="0.25">
      <c r="B16" s="18">
        <v>6</v>
      </c>
      <c r="C16" s="928" t="s">
        <v>136</v>
      </c>
      <c r="D16" s="929" t="s">
        <v>137</v>
      </c>
      <c r="E16" s="938">
        <v>1500</v>
      </c>
      <c r="F16" s="938"/>
      <c r="G16" s="938">
        <v>1500</v>
      </c>
      <c r="H16" s="582"/>
    </row>
    <row r="17" spans="2:8" ht="15.95" customHeight="1" x14ac:dyDescent="0.25">
      <c r="B17" s="18"/>
      <c r="C17" s="939" t="s">
        <v>478</v>
      </c>
      <c r="D17" s="934" t="s">
        <v>109</v>
      </c>
      <c r="E17" s="940"/>
      <c r="F17" s="940"/>
      <c r="G17" s="941"/>
      <c r="H17" s="582"/>
    </row>
    <row r="18" spans="2:8" ht="15.95" customHeight="1" x14ac:dyDescent="0.25">
      <c r="B18" s="18">
        <v>1</v>
      </c>
      <c r="C18" s="928" t="s">
        <v>133</v>
      </c>
      <c r="D18" s="929" t="s">
        <v>66</v>
      </c>
      <c r="E18" s="938">
        <f>73000+2000</f>
        <v>75000</v>
      </c>
      <c r="F18" s="938">
        <f>73000+2000</f>
        <v>75000</v>
      </c>
      <c r="G18" s="938"/>
      <c r="H18" s="582"/>
    </row>
    <row r="19" spans="2:8" ht="15.95" customHeight="1" x14ac:dyDescent="0.25">
      <c r="B19" s="18">
        <v>2</v>
      </c>
      <c r="C19" s="928" t="s">
        <v>479</v>
      </c>
      <c r="D19" s="929" t="s">
        <v>112</v>
      </c>
      <c r="E19" s="938">
        <f>66000+129000</f>
        <v>195000</v>
      </c>
      <c r="F19" s="938"/>
      <c r="G19" s="938">
        <f>66000+129000</f>
        <v>195000</v>
      </c>
      <c r="H19" s="582"/>
    </row>
    <row r="20" spans="2:8" ht="15.95" customHeight="1" x14ac:dyDescent="0.25">
      <c r="B20" s="18">
        <v>3</v>
      </c>
      <c r="C20" s="928" t="s">
        <v>134</v>
      </c>
      <c r="D20" s="929" t="s">
        <v>105</v>
      </c>
      <c r="E20" s="938">
        <v>10000</v>
      </c>
      <c r="F20" s="938">
        <v>10000</v>
      </c>
      <c r="G20" s="938"/>
      <c r="H20" s="582"/>
    </row>
    <row r="21" spans="2:8" ht="15.95" customHeight="1" x14ac:dyDescent="0.25">
      <c r="B21" s="18">
        <v>4</v>
      </c>
      <c r="C21" s="928" t="s">
        <v>480</v>
      </c>
      <c r="D21" s="929" t="s">
        <v>110</v>
      </c>
      <c r="E21" s="938">
        <v>1000</v>
      </c>
      <c r="F21" s="938"/>
      <c r="G21" s="938">
        <v>1000</v>
      </c>
      <c r="H21" s="582"/>
    </row>
    <row r="22" spans="2:8" ht="15.95" customHeight="1" x14ac:dyDescent="0.25">
      <c r="B22" s="18">
        <v>5</v>
      </c>
      <c r="C22" s="928" t="s">
        <v>481</v>
      </c>
      <c r="D22" s="929" t="s">
        <v>69</v>
      </c>
      <c r="E22" s="938">
        <f>30000+20000</f>
        <v>50000</v>
      </c>
      <c r="F22" s="938"/>
      <c r="G22" s="938">
        <f>30000+20000</f>
        <v>50000</v>
      </c>
      <c r="H22" s="582"/>
    </row>
    <row r="23" spans="2:8" ht="15.95" customHeight="1" x14ac:dyDescent="0.25">
      <c r="B23" s="18">
        <v>6</v>
      </c>
      <c r="C23" s="928" t="s">
        <v>356</v>
      </c>
      <c r="D23" s="929" t="s">
        <v>357</v>
      </c>
      <c r="E23" s="938">
        <v>1200</v>
      </c>
      <c r="F23" s="938"/>
      <c r="G23" s="938">
        <v>1200</v>
      </c>
      <c r="H23" s="582"/>
    </row>
    <row r="24" spans="2:8" ht="15.95" customHeight="1" x14ac:dyDescent="0.25">
      <c r="B24" s="18">
        <v>7</v>
      </c>
      <c r="C24" s="928" t="s">
        <v>482</v>
      </c>
      <c r="D24" s="929" t="s">
        <v>74</v>
      </c>
      <c r="E24" s="938">
        <v>2900</v>
      </c>
      <c r="F24" s="938"/>
      <c r="G24" s="938">
        <v>2900</v>
      </c>
      <c r="H24" s="582"/>
    </row>
    <row r="25" spans="2:8" ht="15.95" customHeight="1" x14ac:dyDescent="0.25">
      <c r="B25" s="18">
        <v>8</v>
      </c>
      <c r="C25" s="928" t="s">
        <v>111</v>
      </c>
      <c r="D25" s="929" t="s">
        <v>70</v>
      </c>
      <c r="E25" s="938">
        <v>700</v>
      </c>
      <c r="F25" s="938"/>
      <c r="G25" s="938">
        <v>700</v>
      </c>
      <c r="H25" s="582"/>
    </row>
    <row r="26" spans="2:8" ht="15.95" customHeight="1" x14ac:dyDescent="0.25">
      <c r="B26" s="18">
        <v>9</v>
      </c>
      <c r="C26" s="928" t="s">
        <v>136</v>
      </c>
      <c r="D26" s="929" t="s">
        <v>137</v>
      </c>
      <c r="E26" s="938">
        <v>700</v>
      </c>
      <c r="F26" s="938"/>
      <c r="G26" s="938">
        <v>700</v>
      </c>
      <c r="H26" s="582"/>
    </row>
    <row r="27" spans="2:8" ht="15.95" customHeight="1" x14ac:dyDescent="0.25">
      <c r="B27" s="18">
        <v>10</v>
      </c>
      <c r="C27" s="928" t="s">
        <v>358</v>
      </c>
      <c r="D27" s="929" t="s">
        <v>359</v>
      </c>
      <c r="E27" s="938">
        <v>2000</v>
      </c>
      <c r="F27" s="938"/>
      <c r="G27" s="938">
        <v>2000</v>
      </c>
      <c r="H27" s="582"/>
    </row>
    <row r="28" spans="2:8" ht="15.95" customHeight="1" x14ac:dyDescent="0.25">
      <c r="B28" s="18">
        <v>11</v>
      </c>
      <c r="C28" s="928" t="s">
        <v>138</v>
      </c>
      <c r="D28" s="929" t="s">
        <v>57</v>
      </c>
      <c r="E28" s="938">
        <v>700</v>
      </c>
      <c r="F28" s="938"/>
      <c r="G28" s="938">
        <v>700</v>
      </c>
      <c r="H28" s="582"/>
    </row>
    <row r="29" spans="2:8" ht="15.95" customHeight="1" x14ac:dyDescent="0.25">
      <c r="B29" s="18"/>
      <c r="C29" s="942" t="s">
        <v>139</v>
      </c>
      <c r="D29" s="934" t="s">
        <v>109</v>
      </c>
      <c r="E29" s="940"/>
      <c r="F29" s="943"/>
      <c r="G29" s="943"/>
      <c r="H29" s="583"/>
    </row>
    <row r="30" spans="2:8" ht="28.5" customHeight="1" x14ac:dyDescent="0.25">
      <c r="B30" s="18"/>
      <c r="C30" s="928" t="s">
        <v>360</v>
      </c>
      <c r="D30" s="929"/>
      <c r="E30" s="938">
        <v>800</v>
      </c>
      <c r="F30" s="938">
        <v>800</v>
      </c>
      <c r="G30" s="938"/>
      <c r="H30" s="582"/>
    </row>
    <row r="31" spans="2:8" ht="30" x14ac:dyDescent="0.25">
      <c r="B31" s="18"/>
      <c r="C31" s="928" t="s">
        <v>483</v>
      </c>
      <c r="D31" s="929" t="s">
        <v>484</v>
      </c>
      <c r="E31" s="938">
        <v>3000</v>
      </c>
      <c r="F31" s="938">
        <v>3000</v>
      </c>
      <c r="G31" s="938"/>
      <c r="H31" s="582"/>
    </row>
    <row r="32" spans="2:8" ht="27" customHeight="1" x14ac:dyDescent="0.25">
      <c r="B32" s="18"/>
      <c r="C32" s="928" t="s">
        <v>485</v>
      </c>
      <c r="D32" s="929">
        <v>70</v>
      </c>
      <c r="E32" s="938">
        <v>10000</v>
      </c>
      <c r="F32" s="938">
        <v>10000</v>
      </c>
      <c r="G32" s="938"/>
      <c r="H32" s="582"/>
    </row>
    <row r="33" spans="2:8" ht="16.5" customHeight="1" x14ac:dyDescent="0.25">
      <c r="B33" s="18"/>
      <c r="C33" s="928" t="s">
        <v>486</v>
      </c>
      <c r="D33" s="929" t="s">
        <v>135</v>
      </c>
      <c r="E33" s="938">
        <v>4300</v>
      </c>
      <c r="F33" s="938">
        <v>4300</v>
      </c>
      <c r="G33" s="938"/>
      <c r="H33" s="582"/>
    </row>
    <row r="34" spans="2:8" ht="15.95" customHeight="1" x14ac:dyDescent="0.25">
      <c r="B34" s="18"/>
      <c r="C34" s="928" t="s">
        <v>140</v>
      </c>
      <c r="D34" s="929" t="s">
        <v>101</v>
      </c>
      <c r="E34" s="938">
        <v>3000</v>
      </c>
      <c r="F34" s="938">
        <v>3000</v>
      </c>
      <c r="G34" s="938"/>
      <c r="H34" s="582"/>
    </row>
    <row r="35" spans="2:8" ht="15.95" customHeight="1" x14ac:dyDescent="0.25">
      <c r="B35" s="18"/>
      <c r="C35" s="928" t="s">
        <v>141</v>
      </c>
      <c r="D35" s="944" t="s">
        <v>109</v>
      </c>
      <c r="E35" s="945"/>
      <c r="F35" s="946"/>
      <c r="G35" s="946"/>
      <c r="H35" s="583"/>
    </row>
    <row r="36" spans="2:8" ht="16.5" customHeight="1" x14ac:dyDescent="0.25">
      <c r="B36" s="18"/>
      <c r="C36" s="928" t="s">
        <v>142</v>
      </c>
      <c r="D36" s="929" t="s">
        <v>101</v>
      </c>
      <c r="E36" s="938">
        <v>21212</v>
      </c>
      <c r="F36" s="938"/>
      <c r="G36" s="938">
        <f>23412-2200</f>
        <v>21212</v>
      </c>
      <c r="H36" s="582"/>
    </row>
    <row r="37" spans="2:8" ht="15.95" customHeight="1" x14ac:dyDescent="0.25">
      <c r="B37" s="18"/>
      <c r="C37" s="939" t="s">
        <v>143</v>
      </c>
      <c r="D37" s="947"/>
      <c r="E37" s="941"/>
      <c r="F37" s="941"/>
      <c r="G37" s="941"/>
      <c r="H37" s="582"/>
    </row>
    <row r="38" spans="2:8" ht="15.95" customHeight="1" x14ac:dyDescent="0.25">
      <c r="B38" s="18"/>
      <c r="C38" s="928" t="s">
        <v>144</v>
      </c>
      <c r="D38" s="929" t="s">
        <v>145</v>
      </c>
      <c r="E38" s="948">
        <v>2420</v>
      </c>
      <c r="F38" s="948">
        <v>2420</v>
      </c>
      <c r="G38" s="450"/>
      <c r="H38" s="584"/>
    </row>
    <row r="39" spans="2:8" ht="15.95" customHeight="1" x14ac:dyDescent="0.25">
      <c r="B39" s="18"/>
      <c r="C39" s="928" t="s">
        <v>208</v>
      </c>
      <c r="D39" s="929" t="s">
        <v>209</v>
      </c>
      <c r="E39" s="948">
        <v>1680</v>
      </c>
      <c r="F39" s="948">
        <v>1680</v>
      </c>
      <c r="G39" s="450"/>
      <c r="H39" s="584"/>
    </row>
    <row r="40" spans="2:8" ht="15.95" customHeight="1" x14ac:dyDescent="0.25">
      <c r="B40" s="18"/>
      <c r="C40" s="939" t="s">
        <v>487</v>
      </c>
      <c r="D40" s="934" t="s">
        <v>109</v>
      </c>
      <c r="E40" s="940"/>
      <c r="F40" s="940"/>
      <c r="G40" s="940"/>
      <c r="H40" s="586"/>
    </row>
    <row r="41" spans="2:8" ht="15.95" customHeight="1" x14ac:dyDescent="0.25">
      <c r="B41" s="18"/>
      <c r="C41" s="949" t="s">
        <v>361</v>
      </c>
      <c r="D41" s="929" t="s">
        <v>100</v>
      </c>
      <c r="E41" s="938">
        <v>900</v>
      </c>
      <c r="F41" s="938"/>
      <c r="G41" s="950">
        <v>900</v>
      </c>
      <c r="H41" s="585"/>
    </row>
    <row r="42" spans="2:8" ht="15.95" customHeight="1" x14ac:dyDescent="0.25">
      <c r="B42" s="18"/>
      <c r="C42" s="949" t="s">
        <v>276</v>
      </c>
      <c r="D42" s="929" t="s">
        <v>100</v>
      </c>
      <c r="E42" s="938">
        <v>1400</v>
      </c>
      <c r="F42" s="450"/>
      <c r="G42" s="938">
        <v>1400</v>
      </c>
      <c r="H42" s="582"/>
    </row>
    <row r="43" spans="2:8" ht="15.95" customHeight="1" x14ac:dyDescent="0.25">
      <c r="B43" s="18"/>
      <c r="C43" s="949" t="s">
        <v>275</v>
      </c>
      <c r="D43" s="929" t="s">
        <v>100</v>
      </c>
      <c r="E43" s="938">
        <v>1400</v>
      </c>
      <c r="F43" s="450"/>
      <c r="G43" s="938">
        <v>1400</v>
      </c>
      <c r="H43" s="582"/>
    </row>
    <row r="44" spans="2:8" ht="15.95" customHeight="1" x14ac:dyDescent="0.25">
      <c r="B44" s="18"/>
      <c r="C44" s="949" t="s">
        <v>488</v>
      </c>
      <c r="D44" s="929" t="s">
        <v>100</v>
      </c>
      <c r="E44" s="938">
        <v>1400</v>
      </c>
      <c r="F44" s="450"/>
      <c r="G44" s="938">
        <v>1400</v>
      </c>
      <c r="H44" s="582"/>
    </row>
    <row r="45" spans="2:8" ht="15.95" customHeight="1" x14ac:dyDescent="0.25">
      <c r="B45" s="18"/>
      <c r="C45" s="949" t="s">
        <v>489</v>
      </c>
      <c r="D45" s="929" t="s">
        <v>100</v>
      </c>
      <c r="E45" s="938">
        <v>1400</v>
      </c>
      <c r="F45" s="450"/>
      <c r="G45" s="938">
        <v>1400</v>
      </c>
      <c r="H45" s="582"/>
    </row>
    <row r="46" spans="2:8" ht="15.95" customHeight="1" x14ac:dyDescent="0.25">
      <c r="B46" s="18"/>
      <c r="C46" s="949" t="s">
        <v>362</v>
      </c>
      <c r="D46" s="929" t="s">
        <v>100</v>
      </c>
      <c r="E46" s="938">
        <v>1400</v>
      </c>
      <c r="F46" s="450"/>
      <c r="G46" s="938">
        <v>1400</v>
      </c>
      <c r="H46" s="582"/>
    </row>
    <row r="47" spans="2:8" ht="15.95" customHeight="1" x14ac:dyDescent="0.25">
      <c r="B47" s="18"/>
      <c r="C47" s="928" t="s">
        <v>103</v>
      </c>
      <c r="D47" s="929" t="s">
        <v>110</v>
      </c>
      <c r="E47" s="938">
        <v>900</v>
      </c>
      <c r="F47" s="938"/>
      <c r="G47" s="950">
        <v>900</v>
      </c>
      <c r="H47" s="585"/>
    </row>
    <row r="48" spans="2:8" ht="15.95" customHeight="1" x14ac:dyDescent="0.25">
      <c r="B48" s="18"/>
      <c r="C48" s="928" t="s">
        <v>102</v>
      </c>
      <c r="D48" s="929" t="s">
        <v>110</v>
      </c>
      <c r="E48" s="938">
        <v>900</v>
      </c>
      <c r="F48" s="938"/>
      <c r="G48" s="950">
        <v>900</v>
      </c>
      <c r="H48" s="585"/>
    </row>
    <row r="49" spans="2:8" ht="15.95" customHeight="1" x14ac:dyDescent="0.25">
      <c r="B49" s="18"/>
      <c r="C49" s="951" t="s">
        <v>277</v>
      </c>
      <c r="D49" s="163" t="s">
        <v>278</v>
      </c>
      <c r="E49" s="938">
        <v>1400</v>
      </c>
      <c r="F49" s="938"/>
      <c r="G49" s="950">
        <v>1400</v>
      </c>
      <c r="H49" s="585"/>
    </row>
    <row r="50" spans="2:8" ht="15.95" customHeight="1" x14ac:dyDescent="0.25">
      <c r="B50" s="18"/>
      <c r="C50" s="928" t="s">
        <v>123</v>
      </c>
      <c r="D50" s="929" t="s">
        <v>110</v>
      </c>
      <c r="E50" s="938">
        <v>900</v>
      </c>
      <c r="F50" s="938"/>
      <c r="G50" s="950">
        <v>900</v>
      </c>
      <c r="H50" s="585"/>
    </row>
    <row r="51" spans="2:8" ht="15.95" customHeight="1" x14ac:dyDescent="0.25">
      <c r="B51" s="18"/>
      <c r="C51" s="928" t="s">
        <v>490</v>
      </c>
      <c r="D51" s="929" t="s">
        <v>110</v>
      </c>
      <c r="E51" s="938">
        <v>700</v>
      </c>
      <c r="F51" s="950"/>
      <c r="G51" s="950">
        <v>700</v>
      </c>
      <c r="H51" s="585"/>
    </row>
    <row r="52" spans="2:8" ht="15" customHeight="1" x14ac:dyDescent="0.25">
      <c r="B52" s="18"/>
      <c r="C52" s="928" t="s">
        <v>491</v>
      </c>
      <c r="D52" s="929" t="s">
        <v>104</v>
      </c>
      <c r="E52" s="938">
        <v>400</v>
      </c>
      <c r="F52" s="950"/>
      <c r="G52" s="950">
        <v>400</v>
      </c>
      <c r="H52" s="585"/>
    </row>
    <row r="53" spans="2:8" ht="15.95" customHeight="1" x14ac:dyDescent="0.25">
      <c r="B53" s="18"/>
      <c r="C53" s="928" t="s">
        <v>245</v>
      </c>
      <c r="D53" s="929" t="s">
        <v>104</v>
      </c>
      <c r="E53" s="938">
        <v>400</v>
      </c>
      <c r="F53" s="938"/>
      <c r="G53" s="950">
        <v>400</v>
      </c>
      <c r="H53" s="585"/>
    </row>
    <row r="54" spans="2:8" ht="15.95" customHeight="1" x14ac:dyDescent="0.25">
      <c r="B54" s="18"/>
      <c r="C54" s="928" t="s">
        <v>338</v>
      </c>
      <c r="D54" s="929" t="s">
        <v>104</v>
      </c>
      <c r="E54" s="938">
        <v>400</v>
      </c>
      <c r="F54" s="938"/>
      <c r="G54" s="950">
        <v>400</v>
      </c>
      <c r="H54" s="585"/>
    </row>
    <row r="55" spans="2:8" ht="15.95" customHeight="1" x14ac:dyDescent="0.25">
      <c r="B55" s="18"/>
      <c r="C55" s="928" t="s">
        <v>492</v>
      </c>
      <c r="D55" s="929" t="s">
        <v>110</v>
      </c>
      <c r="E55" s="938">
        <v>400</v>
      </c>
      <c r="F55" s="938"/>
      <c r="G55" s="950">
        <v>400</v>
      </c>
      <c r="H55" s="585"/>
    </row>
    <row r="56" spans="2:8" ht="15.95" customHeight="1" x14ac:dyDescent="0.25">
      <c r="B56" s="18"/>
      <c r="C56" s="231" t="s">
        <v>493</v>
      </c>
      <c r="D56" s="929" t="s">
        <v>110</v>
      </c>
      <c r="E56" s="938">
        <v>400</v>
      </c>
      <c r="F56" s="450"/>
      <c r="G56" s="950">
        <v>400</v>
      </c>
      <c r="H56" s="585"/>
    </row>
    <row r="57" spans="2:8" ht="15.95" customHeight="1" x14ac:dyDescent="0.25">
      <c r="B57" s="18"/>
      <c r="C57" s="231" t="s">
        <v>363</v>
      </c>
      <c r="D57" s="929" t="s">
        <v>110</v>
      </c>
      <c r="E57" s="938">
        <v>400</v>
      </c>
      <c r="F57" s="450"/>
      <c r="G57" s="950">
        <v>400</v>
      </c>
      <c r="H57" s="585"/>
    </row>
    <row r="58" spans="2:8" ht="15.95" customHeight="1" x14ac:dyDescent="0.25">
      <c r="B58" s="18"/>
      <c r="C58" s="928" t="s">
        <v>364</v>
      </c>
      <c r="D58" s="929" t="s">
        <v>137</v>
      </c>
      <c r="E58" s="938">
        <v>300</v>
      </c>
      <c r="F58" s="938"/>
      <c r="G58" s="950">
        <v>300</v>
      </c>
      <c r="H58" s="585"/>
    </row>
    <row r="59" spans="2:8" ht="15.95" customHeight="1" x14ac:dyDescent="0.25">
      <c r="B59" s="18"/>
      <c r="C59" s="928" t="s">
        <v>246</v>
      </c>
      <c r="D59" s="929" t="s">
        <v>137</v>
      </c>
      <c r="E59" s="938">
        <v>300</v>
      </c>
      <c r="F59" s="938"/>
      <c r="G59" s="950">
        <v>300</v>
      </c>
      <c r="H59" s="585"/>
    </row>
    <row r="60" spans="2:8" ht="15.95" customHeight="1" x14ac:dyDescent="0.25">
      <c r="B60" s="18"/>
      <c r="C60" s="928" t="s">
        <v>365</v>
      </c>
      <c r="D60" s="929" t="s">
        <v>137</v>
      </c>
      <c r="E60" s="938">
        <v>100</v>
      </c>
      <c r="F60" s="938"/>
      <c r="G60" s="950">
        <v>100</v>
      </c>
      <c r="H60" s="585"/>
    </row>
    <row r="61" spans="2:8" ht="15.95" customHeight="1" x14ac:dyDescent="0.25">
      <c r="B61" s="18"/>
      <c r="C61" s="928" t="s">
        <v>235</v>
      </c>
      <c r="D61" s="929" t="s">
        <v>137</v>
      </c>
      <c r="E61" s="938">
        <v>300</v>
      </c>
      <c r="F61" s="938"/>
      <c r="G61" s="950">
        <v>300</v>
      </c>
      <c r="H61" s="585"/>
    </row>
    <row r="62" spans="2:8" ht="30" x14ac:dyDescent="0.25">
      <c r="B62" s="18"/>
      <c r="C62" s="928" t="s">
        <v>578</v>
      </c>
      <c r="D62" s="929" t="s">
        <v>579</v>
      </c>
      <c r="E62" s="929">
        <v>2200</v>
      </c>
      <c r="F62" s="938"/>
      <c r="G62" s="950">
        <v>2200</v>
      </c>
      <c r="H62" s="585"/>
    </row>
    <row r="63" spans="2:8" ht="33.75" customHeight="1" x14ac:dyDescent="0.25">
      <c r="B63" s="18"/>
      <c r="C63" s="928"/>
      <c r="D63" s="952" t="s">
        <v>603</v>
      </c>
      <c r="E63" s="953">
        <f>SUM(E11:E62)</f>
        <v>412612</v>
      </c>
      <c r="F63" s="945">
        <f>SUM(F11:F61)</f>
        <v>110200</v>
      </c>
      <c r="G63" s="945">
        <f>SUM(G11:G62)</f>
        <v>302412</v>
      </c>
      <c r="H63" s="549"/>
    </row>
    <row r="64" spans="2:8" x14ac:dyDescent="0.25">
      <c r="F64" s="560"/>
      <c r="G64" s="560"/>
      <c r="H64" s="580"/>
    </row>
    <row r="66" spans="2:8" x14ac:dyDescent="0.25">
      <c r="B66" s="329"/>
      <c r="C66" s="8" t="s">
        <v>155</v>
      </c>
      <c r="D66" s="329"/>
      <c r="E66" s="1" t="s">
        <v>41</v>
      </c>
      <c r="F66" s="579"/>
      <c r="G66" s="579"/>
      <c r="H66" s="579"/>
    </row>
    <row r="67" spans="2:8" x14ac:dyDescent="0.25">
      <c r="B67" s="329"/>
      <c r="C67" s="954"/>
      <c r="D67" s="329"/>
      <c r="F67" s="579"/>
      <c r="G67" s="579"/>
      <c r="H67" s="579"/>
    </row>
    <row r="68" spans="2:8" x14ac:dyDescent="0.25">
      <c r="B68" s="329"/>
      <c r="C68" s="954"/>
      <c r="D68" s="329"/>
      <c r="F68" s="579"/>
      <c r="G68" s="579"/>
      <c r="H68" s="579"/>
    </row>
    <row r="69" spans="2:8" x14ac:dyDescent="0.25">
      <c r="B69" s="329"/>
      <c r="C69" s="954"/>
      <c r="D69" s="329"/>
      <c r="F69" s="579"/>
      <c r="G69" s="579"/>
      <c r="H69" s="579"/>
    </row>
    <row r="70" spans="2:8" x14ac:dyDescent="0.25">
      <c r="B70" s="329"/>
      <c r="C70" s="954"/>
      <c r="D70" s="329"/>
      <c r="F70" s="579"/>
      <c r="G70" s="579"/>
      <c r="H70" s="579"/>
    </row>
    <row r="71" spans="2:8" x14ac:dyDescent="0.25">
      <c r="B71" s="329"/>
      <c r="C71" s="954"/>
      <c r="D71" s="955"/>
      <c r="F71" s="579"/>
      <c r="G71" s="579"/>
      <c r="H71" s="579"/>
    </row>
    <row r="72" spans="2:8" x14ac:dyDescent="0.25">
      <c r="B72" s="329"/>
      <c r="C72" s="954"/>
      <c r="D72" s="329"/>
      <c r="F72" s="579"/>
      <c r="G72" s="579"/>
      <c r="H72" s="579"/>
    </row>
    <row r="73" spans="2:8" x14ac:dyDescent="0.25">
      <c r="B73" s="329"/>
      <c r="C73" s="954"/>
      <c r="D73" s="329"/>
      <c r="F73" s="579"/>
      <c r="G73" s="956"/>
      <c r="H73" s="956"/>
    </row>
    <row r="74" spans="2:8" x14ac:dyDescent="0.25">
      <c r="B74" s="329"/>
      <c r="C74" s="954"/>
      <c r="D74" s="329"/>
      <c r="F74" s="579"/>
      <c r="G74" s="956"/>
      <c r="H74" s="956"/>
    </row>
    <row r="75" spans="2:8" x14ac:dyDescent="0.25">
      <c r="B75" s="329"/>
      <c r="C75" s="954"/>
      <c r="D75" s="329"/>
      <c r="F75" s="579"/>
      <c r="G75" s="956"/>
      <c r="H75" s="956"/>
    </row>
    <row r="76" spans="2:8" x14ac:dyDescent="0.25">
      <c r="B76" s="329"/>
      <c r="C76" s="954"/>
      <c r="D76" s="329"/>
      <c r="F76" s="579"/>
      <c r="G76" s="956"/>
      <c r="H76" s="956"/>
    </row>
    <row r="77" spans="2:8" x14ac:dyDescent="0.25">
      <c r="B77" s="329"/>
      <c r="C77" s="954"/>
      <c r="D77" s="329"/>
      <c r="F77" s="579"/>
      <c r="G77" s="579"/>
      <c r="H77" s="579"/>
    </row>
  </sheetData>
  <mergeCells count="5">
    <mergeCell ref="C7:G7"/>
    <mergeCell ref="B2:E2"/>
    <mergeCell ref="B3:E3"/>
    <mergeCell ref="B4:E4"/>
    <mergeCell ref="B6:E6"/>
  </mergeCells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zoomScaleNormal="100" workbookViewId="0">
      <pane xSplit="3" ySplit="7" topLeftCell="D8" activePane="bottomRight" state="frozen"/>
      <selection pane="topRight" activeCell="E1" sqref="E1"/>
      <selection pane="bottomLeft" activeCell="A9" sqref="A9"/>
      <selection pane="bottomRight" activeCell="K31" sqref="K31"/>
    </sheetView>
  </sheetViews>
  <sheetFormatPr defaultColWidth="9.140625" defaultRowHeight="15" x14ac:dyDescent="0.25"/>
  <cols>
    <col min="1" max="1" width="6.140625" style="1" customWidth="1"/>
    <col min="2" max="2" width="57.7109375" style="1" customWidth="1"/>
    <col min="3" max="3" width="9.28515625" style="1" customWidth="1"/>
    <col min="4" max="4" width="10.28515625" style="1" customWidth="1"/>
    <col min="5" max="5" width="9.7109375" style="1" customWidth="1"/>
    <col min="6" max="6" width="10.7109375" style="1" customWidth="1"/>
    <col min="7" max="7" width="10.140625" style="1" customWidth="1"/>
    <col min="8" max="8" width="10.5703125" style="1" customWidth="1"/>
    <col min="9" max="16384" width="9.140625" style="1"/>
  </cols>
  <sheetData>
    <row r="1" spans="1:8" x14ac:dyDescent="0.25">
      <c r="B1" s="2" t="s">
        <v>0</v>
      </c>
      <c r="F1" s="1" t="s">
        <v>572</v>
      </c>
    </row>
    <row r="3" spans="1:8" x14ac:dyDescent="0.25">
      <c r="A3" s="3" t="s">
        <v>116</v>
      </c>
      <c r="F3" s="5"/>
      <c r="G3" s="5"/>
      <c r="H3" s="5"/>
    </row>
    <row r="4" spans="1:8" x14ac:dyDescent="0.25">
      <c r="B4" s="3" t="s">
        <v>455</v>
      </c>
      <c r="F4" s="5"/>
      <c r="G4" s="5"/>
      <c r="H4" s="5"/>
    </row>
    <row r="5" spans="1:8" x14ac:dyDescent="0.25">
      <c r="A5" s="3"/>
      <c r="B5" s="109" t="s">
        <v>118</v>
      </c>
      <c r="D5" s="110" t="s">
        <v>84</v>
      </c>
      <c r="E5" s="110" t="s">
        <v>85</v>
      </c>
      <c r="F5" s="110" t="s">
        <v>86</v>
      </c>
      <c r="G5" s="110" t="s">
        <v>55</v>
      </c>
      <c r="H5" s="110" t="s">
        <v>87</v>
      </c>
    </row>
    <row r="6" spans="1:8" ht="45.75" thickBot="1" x14ac:dyDescent="0.3">
      <c r="B6" s="3"/>
      <c r="C6" s="111"/>
      <c r="D6" s="112" t="s">
        <v>27</v>
      </c>
      <c r="E6" s="8" t="s">
        <v>106</v>
      </c>
      <c r="F6" s="8" t="s">
        <v>154</v>
      </c>
      <c r="G6" s="8" t="s">
        <v>76</v>
      </c>
      <c r="H6" s="8" t="s">
        <v>28</v>
      </c>
    </row>
    <row r="7" spans="1:8" ht="33.75" customHeight="1" thickBot="1" x14ac:dyDescent="0.35">
      <c r="A7" s="62" t="s">
        <v>7</v>
      </c>
      <c r="B7" s="63" t="s">
        <v>10</v>
      </c>
      <c r="C7" s="64" t="s">
        <v>34</v>
      </c>
      <c r="D7" s="65" t="s">
        <v>456</v>
      </c>
      <c r="E7" s="65" t="s">
        <v>456</v>
      </c>
      <c r="F7" s="65" t="s">
        <v>456</v>
      </c>
      <c r="G7" s="65" t="s">
        <v>456</v>
      </c>
      <c r="H7" s="65" t="s">
        <v>456</v>
      </c>
    </row>
    <row r="8" spans="1:8" x14ac:dyDescent="0.25">
      <c r="A8" s="66">
        <v>1100</v>
      </c>
      <c r="B8" s="67" t="s">
        <v>11</v>
      </c>
      <c r="C8" s="113">
        <f>SUM(D8:H8)</f>
        <v>810699</v>
      </c>
      <c r="D8" s="69">
        <f>279022+1125+50732</f>
        <v>330879</v>
      </c>
      <c r="E8" s="70">
        <v>111039</v>
      </c>
      <c r="F8" s="70">
        <v>174522</v>
      </c>
      <c r="G8" s="70">
        <v>95539</v>
      </c>
      <c r="H8" s="114">
        <v>98720</v>
      </c>
    </row>
    <row r="9" spans="1:8" ht="29.25" customHeight="1" x14ac:dyDescent="0.25">
      <c r="A9" s="71">
        <v>1200</v>
      </c>
      <c r="B9" s="72" t="s">
        <v>12</v>
      </c>
      <c r="C9" s="115">
        <f>SUM(D9:H9)</f>
        <v>364025</v>
      </c>
      <c r="D9" s="74">
        <f>121777+265+11967</f>
        <v>134009</v>
      </c>
      <c r="E9" s="75">
        <v>56383</v>
      </c>
      <c r="F9" s="75">
        <v>82710</v>
      </c>
      <c r="G9" s="75">
        <v>52048</v>
      </c>
      <c r="H9" s="76">
        <v>38875</v>
      </c>
    </row>
    <row r="10" spans="1:8" x14ac:dyDescent="0.25">
      <c r="A10" s="71">
        <v>2000</v>
      </c>
      <c r="B10" s="78" t="s">
        <v>13</v>
      </c>
      <c r="C10" s="115">
        <f t="shared" ref="C10:H10" si="0">SUM(C11:C15)</f>
        <v>859515</v>
      </c>
      <c r="D10" s="83">
        <f t="shared" si="0"/>
        <v>268066</v>
      </c>
      <c r="E10" s="84">
        <f t="shared" si="0"/>
        <v>219981</v>
      </c>
      <c r="F10" s="84">
        <f t="shared" si="0"/>
        <v>113415</v>
      </c>
      <c r="G10" s="84">
        <f t="shared" si="0"/>
        <v>203542</v>
      </c>
      <c r="H10" s="94">
        <f t="shared" si="0"/>
        <v>54511</v>
      </c>
    </row>
    <row r="11" spans="1:8" x14ac:dyDescent="0.25">
      <c r="A11" s="71">
        <v>2100</v>
      </c>
      <c r="B11" s="78" t="s">
        <v>14</v>
      </c>
      <c r="C11" s="115">
        <f>SUM(D11:H11)</f>
        <v>450</v>
      </c>
      <c r="D11" s="83">
        <v>400</v>
      </c>
      <c r="E11" s="84"/>
      <c r="F11" s="84">
        <v>50</v>
      </c>
      <c r="G11" s="84"/>
      <c r="H11" s="94"/>
    </row>
    <row r="12" spans="1:8" x14ac:dyDescent="0.25">
      <c r="A12" s="71">
        <v>2200</v>
      </c>
      <c r="B12" s="78" t="s">
        <v>15</v>
      </c>
      <c r="C12" s="115">
        <f>SUM(D12:H12)</f>
        <v>660085</v>
      </c>
      <c r="D12" s="83">
        <v>186287</v>
      </c>
      <c r="E12" s="84">
        <f>216746-22630</f>
        <v>194116</v>
      </c>
      <c r="F12" s="84">
        <f>93770-8744</f>
        <v>85026</v>
      </c>
      <c r="G12" s="84">
        <f>162351-5000</f>
        <v>157351</v>
      </c>
      <c r="H12" s="85">
        <f>35700+2000-395</f>
        <v>37305</v>
      </c>
    </row>
    <row r="13" spans="1:8" ht="30" x14ac:dyDescent="0.25">
      <c r="A13" s="71">
        <v>2300</v>
      </c>
      <c r="B13" s="72" t="s">
        <v>16</v>
      </c>
      <c r="C13" s="115">
        <f>SUM(D13:H13)</f>
        <v>197610</v>
      </c>
      <c r="D13" s="83">
        <f>54899+20000+5880</f>
        <v>80779</v>
      </c>
      <c r="E13" s="84">
        <f>22362+1000+2203</f>
        <v>25565</v>
      </c>
      <c r="F13" s="84">
        <f>25758+5000+2561-5000</f>
        <v>28319</v>
      </c>
      <c r="G13" s="84">
        <f>33136+9500+3255</f>
        <v>45891</v>
      </c>
      <c r="H13" s="85">
        <f>13820+1055+681+1500</f>
        <v>17056</v>
      </c>
    </row>
    <row r="14" spans="1:8" x14ac:dyDescent="0.25">
      <c r="A14" s="71">
        <v>2400</v>
      </c>
      <c r="B14" s="82" t="s">
        <v>61</v>
      </c>
      <c r="C14" s="115">
        <f t="shared" ref="C14:C25" si="1">SUM(D14:H14)</f>
        <v>1370</v>
      </c>
      <c r="D14" s="83">
        <v>600</v>
      </c>
      <c r="E14" s="84">
        <v>300</v>
      </c>
      <c r="F14" s="84">
        <v>20</v>
      </c>
      <c r="G14" s="84">
        <v>300</v>
      </c>
      <c r="H14" s="94">
        <v>150</v>
      </c>
    </row>
    <row r="15" spans="1:8" x14ac:dyDescent="0.25">
      <c r="A15" s="71">
        <v>2500</v>
      </c>
      <c r="B15" s="78" t="s">
        <v>17</v>
      </c>
      <c r="C15" s="115">
        <f t="shared" si="1"/>
        <v>0</v>
      </c>
      <c r="D15" s="83"/>
      <c r="E15" s="84"/>
      <c r="F15" s="84"/>
      <c r="G15" s="84"/>
      <c r="H15" s="94"/>
    </row>
    <row r="16" spans="1:8" s="116" customFormat="1" x14ac:dyDescent="0.25">
      <c r="A16" s="71">
        <v>3200</v>
      </c>
      <c r="B16" s="4" t="s">
        <v>99</v>
      </c>
      <c r="C16" s="115">
        <f t="shared" si="1"/>
        <v>0</v>
      </c>
      <c r="D16" s="231"/>
      <c r="E16" s="229"/>
      <c r="F16" s="229"/>
      <c r="G16" s="229"/>
      <c r="H16" s="232"/>
    </row>
    <row r="17" spans="1:16" s="3" customFormat="1" x14ac:dyDescent="0.25">
      <c r="A17" s="71">
        <v>4200</v>
      </c>
      <c r="B17" s="78" t="s">
        <v>19</v>
      </c>
      <c r="C17" s="115">
        <f t="shared" si="1"/>
        <v>0</v>
      </c>
      <c r="D17" s="83"/>
      <c r="E17" s="84"/>
      <c r="F17" s="84"/>
      <c r="G17" s="84"/>
      <c r="H17" s="94"/>
    </row>
    <row r="18" spans="1:16" x14ac:dyDescent="0.25">
      <c r="A18" s="71">
        <v>4300</v>
      </c>
      <c r="B18" s="78" t="s">
        <v>20</v>
      </c>
      <c r="C18" s="115">
        <f t="shared" si="1"/>
        <v>0</v>
      </c>
      <c r="D18" s="83"/>
      <c r="E18" s="84"/>
      <c r="F18" s="84"/>
      <c r="G18" s="84"/>
      <c r="H18" s="94"/>
    </row>
    <row r="19" spans="1:16" x14ac:dyDescent="0.25">
      <c r="A19" s="71">
        <v>5100</v>
      </c>
      <c r="B19" s="78" t="s">
        <v>22</v>
      </c>
      <c r="C19" s="115">
        <f t="shared" si="1"/>
        <v>1150</v>
      </c>
      <c r="D19" s="83"/>
      <c r="E19" s="84">
        <v>950</v>
      </c>
      <c r="F19" s="84"/>
      <c r="G19" s="84">
        <v>200</v>
      </c>
      <c r="H19" s="85"/>
    </row>
    <row r="20" spans="1:16" x14ac:dyDescent="0.25">
      <c r="A20" s="71">
        <v>5200</v>
      </c>
      <c r="B20" s="117" t="s">
        <v>23</v>
      </c>
      <c r="C20" s="115">
        <f t="shared" si="1"/>
        <v>160748</v>
      </c>
      <c r="D20" s="83">
        <f>31400+4645</f>
        <v>36045</v>
      </c>
      <c r="E20" s="84">
        <f>15000+18350+8233+22630</f>
        <v>64213</v>
      </c>
      <c r="F20" s="84">
        <f>16020+5733+13744</f>
        <v>35497</v>
      </c>
      <c r="G20" s="84">
        <f>10551+4142+5000</f>
        <v>19693</v>
      </c>
      <c r="H20" s="85">
        <f>3500+1800</f>
        <v>5300</v>
      </c>
    </row>
    <row r="21" spans="1:16" s="3" customFormat="1" x14ac:dyDescent="0.25">
      <c r="A21" s="71">
        <v>6000</v>
      </c>
      <c r="B21" s="72" t="s">
        <v>58</v>
      </c>
      <c r="C21" s="115">
        <f>SUM(C22:C24)</f>
        <v>5265</v>
      </c>
      <c r="D21" s="92">
        <f>SUM(D22:D24)</f>
        <v>2050</v>
      </c>
      <c r="E21" s="92">
        <f t="shared" ref="E21:H21" si="2">SUM(E22:E24)</f>
        <v>1350</v>
      </c>
      <c r="F21" s="92">
        <f t="shared" si="2"/>
        <v>800</v>
      </c>
      <c r="G21" s="92">
        <f t="shared" si="2"/>
        <v>500</v>
      </c>
      <c r="H21" s="92">
        <f t="shared" si="2"/>
        <v>565</v>
      </c>
    </row>
    <row r="22" spans="1:16" s="3" customFormat="1" x14ac:dyDescent="0.25">
      <c r="A22" s="71">
        <v>6200</v>
      </c>
      <c r="B22" s="78" t="s">
        <v>24</v>
      </c>
      <c r="C22" s="115">
        <f t="shared" si="1"/>
        <v>0</v>
      </c>
      <c r="D22" s="88"/>
      <c r="E22" s="89"/>
      <c r="F22" s="89"/>
      <c r="G22" s="89"/>
      <c r="H22" s="90"/>
    </row>
    <row r="23" spans="1:16" x14ac:dyDescent="0.25">
      <c r="A23" s="71">
        <v>6300</v>
      </c>
      <c r="B23" s="72" t="s">
        <v>59</v>
      </c>
      <c r="C23" s="115">
        <f t="shared" si="1"/>
        <v>0</v>
      </c>
      <c r="D23" s="88"/>
      <c r="E23" s="89"/>
      <c r="F23" s="89"/>
      <c r="G23" s="89"/>
      <c r="H23" s="90"/>
    </row>
    <row r="24" spans="1:16" x14ac:dyDescent="0.25">
      <c r="A24" s="95">
        <v>6400</v>
      </c>
      <c r="B24" s="479" t="s">
        <v>441</v>
      </c>
      <c r="C24" s="115">
        <f t="shared" si="1"/>
        <v>5265</v>
      </c>
      <c r="D24" s="98">
        <v>2050</v>
      </c>
      <c r="E24" s="99">
        <v>1350</v>
      </c>
      <c r="F24" s="99">
        <v>800</v>
      </c>
      <c r="G24" s="99">
        <f>250+250</f>
        <v>500</v>
      </c>
      <c r="H24" s="101">
        <v>565</v>
      </c>
    </row>
    <row r="25" spans="1:16" ht="15.75" thickBot="1" x14ac:dyDescent="0.3">
      <c r="A25" s="95">
        <v>7200</v>
      </c>
      <c r="B25" s="96" t="s">
        <v>25</v>
      </c>
      <c r="C25" s="118">
        <f t="shared" si="1"/>
        <v>0</v>
      </c>
      <c r="D25" s="98"/>
      <c r="E25" s="99"/>
      <c r="F25" s="99"/>
      <c r="G25" s="119"/>
      <c r="H25" s="120"/>
    </row>
    <row r="26" spans="1:16" ht="15.75" thickBot="1" x14ac:dyDescent="0.3">
      <c r="A26" s="62"/>
      <c r="B26" s="102" t="s">
        <v>26</v>
      </c>
      <c r="C26" s="121">
        <f t="shared" ref="C26:H26" si="3">C8+C9+C10+C16+C17+C18+C19+C20+C21+C25</f>
        <v>2201402</v>
      </c>
      <c r="D26" s="104">
        <f>D8+D9+D10+D16+D17+D18+D19+D20+D21+D25</f>
        <v>771049</v>
      </c>
      <c r="E26" s="121">
        <f t="shared" si="3"/>
        <v>453916</v>
      </c>
      <c r="F26" s="103">
        <f t="shared" si="3"/>
        <v>406944</v>
      </c>
      <c r="G26" s="103">
        <f t="shared" si="3"/>
        <v>371522</v>
      </c>
      <c r="H26" s="103">
        <f t="shared" si="3"/>
        <v>197971</v>
      </c>
      <c r="J26" s="6"/>
      <c r="K26" s="6"/>
      <c r="L26" s="6"/>
      <c r="M26" s="6"/>
      <c r="N26" s="6"/>
      <c r="O26" s="6"/>
      <c r="P26" s="6"/>
    </row>
    <row r="27" spans="1:16" x14ac:dyDescent="0.25">
      <c r="B27" s="105" t="s">
        <v>48</v>
      </c>
      <c r="C27" s="108">
        <f>SUM(D27:H27)</f>
        <v>3569165</v>
      </c>
      <c r="D27" s="106">
        <f>1336048+70947</f>
        <v>1406995</v>
      </c>
      <c r="E27" s="77">
        <f>600133+31825</f>
        <v>631958</v>
      </c>
      <c r="F27" s="77">
        <f>591024+31296</f>
        <v>622320</v>
      </c>
      <c r="G27" s="106">
        <f>651879+34616</f>
        <v>686495</v>
      </c>
      <c r="H27" s="106">
        <f>210233+11164</f>
        <v>221397</v>
      </c>
    </row>
    <row r="28" spans="1:16" x14ac:dyDescent="0.25">
      <c r="B28" s="105" t="s">
        <v>63</v>
      </c>
      <c r="C28" s="108">
        <f>SUM(D28:H28)</f>
        <v>134518</v>
      </c>
      <c r="D28" s="401">
        <v>31197</v>
      </c>
      <c r="E28" s="402">
        <v>28946</v>
      </c>
      <c r="F28" s="401">
        <v>37951</v>
      </c>
      <c r="G28" s="402">
        <v>24202</v>
      </c>
      <c r="H28" s="106">
        <v>12222</v>
      </c>
    </row>
    <row r="29" spans="1:16" x14ac:dyDescent="0.25">
      <c r="B29" s="105" t="s">
        <v>244</v>
      </c>
      <c r="C29" s="108">
        <f>SUM(D29:H29)</f>
        <v>0</v>
      </c>
      <c r="D29" s="106"/>
      <c r="E29" s="77"/>
      <c r="F29" s="106"/>
      <c r="G29" s="77"/>
      <c r="H29" s="106"/>
    </row>
    <row r="30" spans="1:16" x14ac:dyDescent="0.25">
      <c r="B30" s="105" t="s">
        <v>249</v>
      </c>
      <c r="C30" s="108">
        <f>SUM(D30:H30)</f>
        <v>22246</v>
      </c>
      <c r="D30" s="106"/>
      <c r="E30" s="77"/>
      <c r="F30" s="106">
        <v>11123</v>
      </c>
      <c r="G30" s="77">
        <v>11123</v>
      </c>
      <c r="H30" s="106"/>
    </row>
    <row r="31" spans="1:16" x14ac:dyDescent="0.25">
      <c r="B31" s="105" t="s">
        <v>51</v>
      </c>
      <c r="C31" s="108">
        <f>SUM(C26:C30)</f>
        <v>5927331</v>
      </c>
      <c r="D31" s="108">
        <f>SUM(D26:D30)</f>
        <v>2209241</v>
      </c>
      <c r="E31" s="108">
        <f t="shared" ref="E31:H31" si="4">SUM(E26:E30)</f>
        <v>1114820</v>
      </c>
      <c r="F31" s="108">
        <f>SUM(F26:F30)</f>
        <v>1078338</v>
      </c>
      <c r="G31" s="108">
        <f t="shared" si="4"/>
        <v>1093342</v>
      </c>
      <c r="H31" s="108">
        <f t="shared" si="4"/>
        <v>431590</v>
      </c>
    </row>
    <row r="32" spans="1:16" x14ac:dyDescent="0.25">
      <c r="B32" s="4"/>
      <c r="C32" s="4"/>
      <c r="D32" s="122"/>
      <c r="E32" s="122"/>
      <c r="F32" s="122"/>
      <c r="G32" s="122"/>
      <c r="H32" s="122"/>
    </row>
    <row r="33" spans="2:8" x14ac:dyDescent="0.25">
      <c r="B33" s="4"/>
      <c r="C33" s="4"/>
      <c r="D33" s="122"/>
      <c r="E33" s="122"/>
      <c r="F33" s="122"/>
      <c r="G33" s="122"/>
      <c r="H33" s="122"/>
    </row>
    <row r="34" spans="2:8" x14ac:dyDescent="0.25">
      <c r="B34" s="8" t="s">
        <v>149</v>
      </c>
      <c r="C34" s="8"/>
      <c r="E34" s="1" t="s">
        <v>41</v>
      </c>
    </row>
    <row r="35" spans="2:8" x14ac:dyDescent="0.25">
      <c r="C35" s="396"/>
      <c r="D35" s="396"/>
      <c r="E35" s="396"/>
      <c r="F35" s="396"/>
      <c r="G35" s="396"/>
      <c r="H35" s="396"/>
    </row>
  </sheetData>
  <phoneticPr fontId="0" type="noConversion"/>
  <pageMargins left="0.35433070866141736" right="0.19685039370078741" top="0.39370078740157483" bottom="0.39370078740157483" header="0.51181102362204722" footer="0.51181102362204722"/>
  <pageSetup paperSize="9" scale="8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B1" zoomScaleNormal="100" workbookViewId="0">
      <pane xSplit="2" ySplit="7" topLeftCell="D8" activePane="bottomRight" state="frozen"/>
      <selection activeCell="B1" sqref="B1"/>
      <selection pane="topRight" activeCell="D1" sqref="D1"/>
      <selection pane="bottomLeft" activeCell="B9" sqref="B9"/>
      <selection pane="bottomRight" activeCell="I18" sqref="I18"/>
    </sheetView>
  </sheetViews>
  <sheetFormatPr defaultColWidth="9.28515625" defaultRowHeight="15" x14ac:dyDescent="0.25"/>
  <cols>
    <col min="1" max="1" width="6" style="1" hidden="1" customWidth="1"/>
    <col min="2" max="2" width="7.7109375" style="1" customWidth="1"/>
    <col min="3" max="3" width="57.7109375" style="1" customWidth="1"/>
    <col min="4" max="4" width="8.7109375" style="1" customWidth="1"/>
    <col min="5" max="5" width="9.5703125" style="6" customWidth="1"/>
    <col min="6" max="7" width="9.28515625" style="1" customWidth="1"/>
    <col min="8" max="16384" width="9.28515625" style="1"/>
  </cols>
  <sheetData>
    <row r="1" spans="1:6" x14ac:dyDescent="0.25">
      <c r="C1" s="2" t="s">
        <v>0</v>
      </c>
      <c r="E1" s="6" t="s">
        <v>572</v>
      </c>
    </row>
    <row r="3" spans="1:6" x14ac:dyDescent="0.25">
      <c r="A3" s="3"/>
      <c r="B3" s="3" t="s">
        <v>117</v>
      </c>
    </row>
    <row r="4" spans="1:6" x14ac:dyDescent="0.25">
      <c r="C4" s="3" t="s">
        <v>455</v>
      </c>
    </row>
    <row r="5" spans="1:6" x14ac:dyDescent="0.25">
      <c r="A5" s="3"/>
      <c r="B5" s="124" t="s">
        <v>118</v>
      </c>
      <c r="C5" s="125"/>
      <c r="D5" s="126" t="s">
        <v>439</v>
      </c>
      <c r="E5" s="110" t="s">
        <v>221</v>
      </c>
    </row>
    <row r="6" spans="1:6" s="8" customFormat="1" ht="60.75" thickBot="1" x14ac:dyDescent="0.3">
      <c r="C6" s="127"/>
      <c r="D6" s="128" t="s">
        <v>440</v>
      </c>
      <c r="E6" s="128" t="s">
        <v>407</v>
      </c>
    </row>
    <row r="7" spans="1:6" ht="39.75" customHeight="1" thickBot="1" x14ac:dyDescent="0.35">
      <c r="A7" s="130"/>
      <c r="B7" s="123" t="s">
        <v>7</v>
      </c>
      <c r="C7" s="131" t="s">
        <v>10</v>
      </c>
      <c r="D7" s="64" t="s">
        <v>456</v>
      </c>
      <c r="E7" s="64" t="s">
        <v>456</v>
      </c>
    </row>
    <row r="8" spans="1:6" x14ac:dyDescent="0.25">
      <c r="A8" s="132"/>
      <c r="B8" s="133">
        <v>1100</v>
      </c>
      <c r="C8" s="134" t="s">
        <v>11</v>
      </c>
      <c r="D8" s="181">
        <v>358810</v>
      </c>
      <c r="E8" s="56">
        <f>169035+109140</f>
        <v>278175</v>
      </c>
    </row>
    <row r="9" spans="1:6" ht="26.25" customHeight="1" x14ac:dyDescent="0.25">
      <c r="A9" s="138"/>
      <c r="B9" s="139">
        <v>1200</v>
      </c>
      <c r="C9" s="140" t="s">
        <v>12</v>
      </c>
      <c r="D9" s="73">
        <v>115585</v>
      </c>
      <c r="E9" s="204">
        <f>48038+25746</f>
        <v>73784</v>
      </c>
    </row>
    <row r="10" spans="1:6" x14ac:dyDescent="0.25">
      <c r="A10" s="138"/>
      <c r="B10" s="139">
        <v>2000</v>
      </c>
      <c r="C10" s="82" t="s">
        <v>13</v>
      </c>
      <c r="D10" s="115">
        <f>SUM(D11:D15)</f>
        <v>171030</v>
      </c>
      <c r="E10" s="148">
        <f>SUM(E11:E15)</f>
        <v>54845</v>
      </c>
    </row>
    <row r="11" spans="1:6" x14ac:dyDescent="0.25">
      <c r="A11" s="138"/>
      <c r="B11" s="139">
        <v>2100</v>
      </c>
      <c r="C11" s="82" t="s">
        <v>14</v>
      </c>
      <c r="D11" s="115">
        <v>3100</v>
      </c>
      <c r="E11" s="149">
        <v>396</v>
      </c>
    </row>
    <row r="12" spans="1:6" x14ac:dyDescent="0.25">
      <c r="A12" s="138"/>
      <c r="B12" s="139">
        <v>2200</v>
      </c>
      <c r="C12" s="82" t="s">
        <v>15</v>
      </c>
      <c r="D12" s="142">
        <f>101410+30368-2173</f>
        <v>129605</v>
      </c>
      <c r="E12" s="149">
        <f>38769-600</f>
        <v>38169</v>
      </c>
      <c r="F12" s="6"/>
    </row>
    <row r="13" spans="1:6" ht="30" x14ac:dyDescent="0.25">
      <c r="A13" s="138"/>
      <c r="B13" s="139">
        <v>2300</v>
      </c>
      <c r="C13" s="140" t="s">
        <v>16</v>
      </c>
      <c r="D13" s="142">
        <f>40650-2525</f>
        <v>38125</v>
      </c>
      <c r="E13" s="149">
        <v>16280</v>
      </c>
      <c r="F13" s="6"/>
    </row>
    <row r="14" spans="1:6" x14ac:dyDescent="0.25">
      <c r="A14" s="147"/>
      <c r="B14" s="71">
        <v>2400</v>
      </c>
      <c r="C14" s="82" t="s">
        <v>61</v>
      </c>
      <c r="D14" s="115">
        <v>200</v>
      </c>
      <c r="E14" s="149"/>
    </row>
    <row r="15" spans="1:6" x14ac:dyDescent="0.25">
      <c r="A15" s="138"/>
      <c r="B15" s="139">
        <v>2500</v>
      </c>
      <c r="C15" s="82" t="s">
        <v>17</v>
      </c>
      <c r="D15" s="115"/>
      <c r="E15" s="149"/>
    </row>
    <row r="16" spans="1:6" x14ac:dyDescent="0.25">
      <c r="A16" s="138"/>
      <c r="B16" s="139">
        <v>4200</v>
      </c>
      <c r="C16" s="82" t="s">
        <v>19</v>
      </c>
      <c r="D16" s="115"/>
      <c r="E16" s="149"/>
    </row>
    <row r="17" spans="1:8" x14ac:dyDescent="0.25">
      <c r="A17" s="138"/>
      <c r="B17" s="139">
        <v>4300</v>
      </c>
      <c r="C17" s="82" t="s">
        <v>20</v>
      </c>
      <c r="D17" s="115"/>
      <c r="E17" s="149"/>
    </row>
    <row r="18" spans="1:8" x14ac:dyDescent="0.25">
      <c r="A18" s="138"/>
      <c r="B18" s="139">
        <v>5100</v>
      </c>
      <c r="C18" s="82" t="s">
        <v>22</v>
      </c>
      <c r="D18" s="115"/>
      <c r="E18" s="149">
        <v>600</v>
      </c>
    </row>
    <row r="19" spans="1:8" x14ac:dyDescent="0.25">
      <c r="A19" s="138"/>
      <c r="B19" s="139">
        <v>5200</v>
      </c>
      <c r="C19" s="82" t="s">
        <v>23</v>
      </c>
      <c r="D19" s="142">
        <f>19985+41591+4698</f>
        <v>66274</v>
      </c>
      <c r="E19" s="149">
        <v>1300</v>
      </c>
      <c r="G19" s="6"/>
      <c r="H19" s="6"/>
    </row>
    <row r="20" spans="1:8" x14ac:dyDescent="0.25">
      <c r="A20" s="138"/>
      <c r="B20" s="139">
        <v>6000</v>
      </c>
      <c r="C20" s="72" t="s">
        <v>58</v>
      </c>
      <c r="D20" s="146"/>
      <c r="E20" s="145">
        <v>0</v>
      </c>
    </row>
    <row r="21" spans="1:8" s="3" customFormat="1" x14ac:dyDescent="0.25">
      <c r="A21" s="138"/>
      <c r="B21" s="139">
        <v>6200</v>
      </c>
      <c r="C21" s="82" t="s">
        <v>24</v>
      </c>
      <c r="D21" s="213"/>
      <c r="E21" s="149"/>
    </row>
    <row r="22" spans="1:8" x14ac:dyDescent="0.25">
      <c r="A22" s="138"/>
      <c r="B22" s="139">
        <v>6300</v>
      </c>
      <c r="C22" s="72" t="s">
        <v>59</v>
      </c>
      <c r="D22" s="146"/>
      <c r="E22" s="476"/>
    </row>
    <row r="23" spans="1:8" ht="18" customHeight="1" x14ac:dyDescent="0.25">
      <c r="A23" s="138"/>
      <c r="B23" s="139">
        <v>6400</v>
      </c>
      <c r="C23" s="91" t="s">
        <v>75</v>
      </c>
      <c r="D23" s="146"/>
      <c r="E23" s="149">
        <f>9940-5450</f>
        <v>4490</v>
      </c>
    </row>
    <row r="24" spans="1:8" ht="15.75" thickBot="1" x14ac:dyDescent="0.3">
      <c r="A24" s="138"/>
      <c r="B24" s="139">
        <v>7200</v>
      </c>
      <c r="C24" s="82" t="s">
        <v>25</v>
      </c>
      <c r="D24" s="478"/>
      <c r="E24" s="477"/>
    </row>
    <row r="25" spans="1:8" ht="16.5" thickBot="1" x14ac:dyDescent="0.3">
      <c r="A25" s="151"/>
      <c r="B25" s="152"/>
      <c r="C25" s="153" t="s">
        <v>26</v>
      </c>
      <c r="D25" s="154">
        <f>SUM(D8+D9+D10+D16+D17+D18+D19+D20+D24)</f>
        <v>711699</v>
      </c>
      <c r="E25" s="155">
        <f>SUM(E8+E9+E10+E16+E17+E18+E19+E21+E23+E24)</f>
        <v>413194</v>
      </c>
    </row>
    <row r="26" spans="1:8" x14ac:dyDescent="0.25">
      <c r="A26" s="4"/>
      <c r="B26" s="4"/>
      <c r="C26" s="105" t="s">
        <v>65</v>
      </c>
      <c r="D26" s="197">
        <f>553847+17778</f>
        <v>571625</v>
      </c>
      <c r="E26" s="156"/>
    </row>
    <row r="27" spans="1:8" x14ac:dyDescent="0.25">
      <c r="A27" s="4"/>
      <c r="B27" s="4"/>
      <c r="C27" s="105" t="s">
        <v>63</v>
      </c>
      <c r="D27" s="106">
        <v>12222</v>
      </c>
      <c r="E27" s="156"/>
    </row>
    <row r="28" spans="1:8" x14ac:dyDescent="0.25">
      <c r="A28" s="4"/>
      <c r="B28" s="4"/>
      <c r="C28" s="105" t="s">
        <v>244</v>
      </c>
      <c r="D28" s="106">
        <v>1604</v>
      </c>
      <c r="E28" s="156"/>
    </row>
    <row r="29" spans="1:8" x14ac:dyDescent="0.25">
      <c r="A29" s="4"/>
      <c r="B29" s="4"/>
      <c r="C29" s="157" t="s">
        <v>51</v>
      </c>
      <c r="D29" s="108">
        <f>SUM(D25:D28)</f>
        <v>1297150</v>
      </c>
      <c r="E29" s="108">
        <f>SUM(E25:E27)</f>
        <v>413194</v>
      </c>
    </row>
    <row r="30" spans="1:8" x14ac:dyDescent="0.25">
      <c r="A30" s="4"/>
      <c r="B30" s="4"/>
      <c r="C30" s="157"/>
      <c r="D30" s="7"/>
    </row>
    <row r="31" spans="1:8" x14ac:dyDescent="0.25">
      <c r="C31" s="8" t="s">
        <v>149</v>
      </c>
      <c r="D31" s="8"/>
      <c r="E31" s="1" t="s">
        <v>41</v>
      </c>
    </row>
  </sheetData>
  <phoneticPr fontId="0" type="noConversion"/>
  <pageMargins left="0.74803149606299213" right="0.74803149606299213" top="0.39370078740157483" bottom="0.59055118110236227" header="0.31496062992125984" footer="0.51181102362204722"/>
  <pageSetup paperSize="9" scale="85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pane xSplit="2" ySplit="7" topLeftCell="C8" activePane="bottomRight" state="frozen"/>
      <selection pane="topRight" activeCell="D1" sqref="D1"/>
      <selection pane="bottomLeft" activeCell="A9" sqref="A9"/>
      <selection pane="bottomRight" activeCell="L32" sqref="L32"/>
    </sheetView>
  </sheetViews>
  <sheetFormatPr defaultColWidth="9.28515625" defaultRowHeight="15" x14ac:dyDescent="0.25"/>
  <cols>
    <col min="1" max="1" width="9.28515625" style="1" customWidth="1"/>
    <col min="2" max="2" width="47.28515625" style="1" customWidth="1"/>
    <col min="3" max="3" width="10.5703125" style="1" customWidth="1"/>
    <col min="4" max="4" width="9.85546875" style="1" customWidth="1"/>
    <col min="5" max="16384" width="9.28515625" style="1"/>
  </cols>
  <sheetData>
    <row r="1" spans="1:4" x14ac:dyDescent="0.25">
      <c r="B1" s="125" t="s">
        <v>0</v>
      </c>
      <c r="C1" s="1" t="s">
        <v>572</v>
      </c>
    </row>
    <row r="3" spans="1:4" x14ac:dyDescent="0.25">
      <c r="A3" s="3" t="s">
        <v>186</v>
      </c>
    </row>
    <row r="4" spans="1:4" x14ac:dyDescent="0.25">
      <c r="B4" s="3" t="s">
        <v>475</v>
      </c>
    </row>
    <row r="5" spans="1:4" x14ac:dyDescent="0.25">
      <c r="A5" s="124" t="s">
        <v>118</v>
      </c>
      <c r="B5" s="125"/>
      <c r="C5" s="126" t="s">
        <v>95</v>
      </c>
      <c r="D5" s="110" t="s">
        <v>96</v>
      </c>
    </row>
    <row r="6" spans="1:4" s="8" customFormat="1" ht="30.75" thickBot="1" x14ac:dyDescent="0.3">
      <c r="B6" s="127"/>
      <c r="C6" s="128" t="s">
        <v>32</v>
      </c>
      <c r="D6" s="129" t="s">
        <v>33</v>
      </c>
    </row>
    <row r="7" spans="1:4" ht="36" customHeight="1" thickBot="1" x14ac:dyDescent="0.35">
      <c r="A7" s="123" t="s">
        <v>7</v>
      </c>
      <c r="B7" s="158" t="s">
        <v>10</v>
      </c>
      <c r="C7" s="159" t="s">
        <v>456</v>
      </c>
      <c r="D7" s="159" t="s">
        <v>456</v>
      </c>
    </row>
    <row r="8" spans="1:4" x14ac:dyDescent="0.25">
      <c r="A8" s="160">
        <v>1100</v>
      </c>
      <c r="B8" s="161" t="s">
        <v>11</v>
      </c>
      <c r="C8" s="135">
        <v>259024</v>
      </c>
      <c r="D8" s="137">
        <v>96385</v>
      </c>
    </row>
    <row r="9" spans="1:4" ht="26.25" customHeight="1" x14ac:dyDescent="0.25">
      <c r="A9" s="162">
        <v>1200</v>
      </c>
      <c r="B9" s="72" t="s">
        <v>12</v>
      </c>
      <c r="C9" s="81">
        <v>76885</v>
      </c>
      <c r="D9" s="73">
        <v>29745</v>
      </c>
    </row>
    <row r="10" spans="1:4" x14ac:dyDescent="0.25">
      <c r="A10" s="162">
        <v>2000</v>
      </c>
      <c r="B10" s="78" t="s">
        <v>13</v>
      </c>
      <c r="C10" s="142">
        <f>SUM(C11:C15)</f>
        <v>148790</v>
      </c>
      <c r="D10" s="115">
        <f>SUM(D11:D15)</f>
        <v>63931</v>
      </c>
    </row>
    <row r="11" spans="1:4" x14ac:dyDescent="0.25">
      <c r="A11" s="162">
        <v>2100</v>
      </c>
      <c r="B11" s="78" t="s">
        <v>14</v>
      </c>
      <c r="C11" s="142">
        <v>2923</v>
      </c>
      <c r="D11" s="142">
        <v>400</v>
      </c>
    </row>
    <row r="12" spans="1:4" x14ac:dyDescent="0.25">
      <c r="A12" s="162">
        <v>2200</v>
      </c>
      <c r="B12" s="78" t="s">
        <v>15</v>
      </c>
      <c r="C12" s="142">
        <v>105244</v>
      </c>
      <c r="D12" s="142">
        <f>59576-2650</f>
        <v>56926</v>
      </c>
    </row>
    <row r="13" spans="1:4" ht="30" x14ac:dyDescent="0.25">
      <c r="A13" s="162">
        <v>2300</v>
      </c>
      <c r="B13" s="72" t="s">
        <v>16</v>
      </c>
      <c r="C13" s="142">
        <f>26896+13727</f>
        <v>40623</v>
      </c>
      <c r="D13" s="142">
        <v>6605</v>
      </c>
    </row>
    <row r="14" spans="1:4" x14ac:dyDescent="0.25">
      <c r="A14" s="162">
        <v>2400</v>
      </c>
      <c r="B14" s="82" t="s">
        <v>60</v>
      </c>
      <c r="C14" s="142"/>
      <c r="D14" s="142"/>
    </row>
    <row r="15" spans="1:4" x14ac:dyDescent="0.25">
      <c r="A15" s="162">
        <v>2500</v>
      </c>
      <c r="B15" s="78" t="s">
        <v>17</v>
      </c>
      <c r="C15" s="142"/>
      <c r="D15" s="142"/>
    </row>
    <row r="16" spans="1:4" x14ac:dyDescent="0.25">
      <c r="A16" s="162">
        <v>4200</v>
      </c>
      <c r="B16" s="78" t="s">
        <v>19</v>
      </c>
      <c r="C16" s="142"/>
      <c r="D16" s="142"/>
    </row>
    <row r="17" spans="1:4" x14ac:dyDescent="0.25">
      <c r="A17" s="162">
        <v>4300</v>
      </c>
      <c r="B17" s="78" t="s">
        <v>20</v>
      </c>
      <c r="C17" s="142"/>
      <c r="D17" s="142"/>
    </row>
    <row r="18" spans="1:4" x14ac:dyDescent="0.25">
      <c r="A18" s="162">
        <v>5100</v>
      </c>
      <c r="B18" s="78" t="s">
        <v>22</v>
      </c>
      <c r="C18" s="142"/>
      <c r="D18" s="142"/>
    </row>
    <row r="19" spans="1:4" x14ac:dyDescent="0.25">
      <c r="A19" s="162">
        <v>5200</v>
      </c>
      <c r="B19" s="78" t="s">
        <v>23</v>
      </c>
      <c r="C19" s="142">
        <v>15144</v>
      </c>
      <c r="D19" s="298">
        <f>1750+2650</f>
        <v>4400</v>
      </c>
    </row>
    <row r="20" spans="1:4" s="3" customFormat="1" x14ac:dyDescent="0.25">
      <c r="A20" s="162">
        <v>6000</v>
      </c>
      <c r="B20" s="72" t="s">
        <v>58</v>
      </c>
      <c r="C20" s="115">
        <f>SUM(C21:C23)</f>
        <v>0</v>
      </c>
      <c r="D20" s="142">
        <f>SUM(D21:D23)</f>
        <v>0</v>
      </c>
    </row>
    <row r="21" spans="1:4" x14ac:dyDescent="0.25">
      <c r="A21" s="162">
        <v>6200</v>
      </c>
      <c r="B21" s="78" t="s">
        <v>24</v>
      </c>
      <c r="C21" s="146"/>
      <c r="D21" s="146"/>
    </row>
    <row r="22" spans="1:4" x14ac:dyDescent="0.25">
      <c r="A22" s="162">
        <v>6300</v>
      </c>
      <c r="B22" s="72" t="s">
        <v>59</v>
      </c>
      <c r="C22" s="146"/>
      <c r="D22" s="146"/>
    </row>
    <row r="23" spans="1:4" ht="30" x14ac:dyDescent="0.25">
      <c r="A23" s="162">
        <v>6400</v>
      </c>
      <c r="B23" s="163" t="s">
        <v>75</v>
      </c>
      <c r="C23" s="146"/>
      <c r="D23" s="146"/>
    </row>
    <row r="24" spans="1:4" ht="15.75" thickBot="1" x14ac:dyDescent="0.3">
      <c r="A24" s="162">
        <v>7200</v>
      </c>
      <c r="B24" s="78" t="s">
        <v>25</v>
      </c>
      <c r="C24" s="146"/>
      <c r="D24" s="146"/>
    </row>
    <row r="25" spans="1:4" ht="15.75" thickBot="1" x14ac:dyDescent="0.3">
      <c r="A25" s="164"/>
      <c r="B25" s="102" t="s">
        <v>26</v>
      </c>
      <c r="C25" s="103">
        <f>SUM(C8+C9+C10+C16+C17+C18+C19+C20+C24)</f>
        <v>499843</v>
      </c>
      <c r="D25" s="216">
        <f>SUM(D8+D9+D10+D16+D17+D18+D19+D20+D24)</f>
        <v>194461</v>
      </c>
    </row>
    <row r="26" spans="1:4" x14ac:dyDescent="0.25">
      <c r="A26" s="4"/>
      <c r="B26" s="105" t="s">
        <v>65</v>
      </c>
      <c r="C26" s="270">
        <f>200002+5700</f>
        <v>205702</v>
      </c>
      <c r="D26" s="156">
        <f>116913+2973</f>
        <v>119886</v>
      </c>
    </row>
    <row r="27" spans="1:4" x14ac:dyDescent="0.25">
      <c r="A27" s="4"/>
      <c r="B27" s="105" t="s">
        <v>63</v>
      </c>
      <c r="C27" s="270">
        <v>30876</v>
      </c>
      <c r="D27" s="106"/>
    </row>
    <row r="28" spans="1:4" x14ac:dyDescent="0.25">
      <c r="B28" s="105" t="s">
        <v>51</v>
      </c>
      <c r="C28" s="108">
        <f>SUM(C25:C27)</f>
        <v>736421</v>
      </c>
      <c r="D28" s="108">
        <f>SUM(D25:D26)</f>
        <v>314347</v>
      </c>
    </row>
    <row r="29" spans="1:4" x14ac:dyDescent="0.25">
      <c r="B29" s="157"/>
      <c r="C29" s="165"/>
      <c r="D29" s="7"/>
    </row>
    <row r="30" spans="1:4" x14ac:dyDescent="0.25">
      <c r="B30" s="8" t="s">
        <v>149</v>
      </c>
      <c r="C30" s="8"/>
      <c r="D30" s="1" t="s">
        <v>41</v>
      </c>
    </row>
  </sheetData>
  <phoneticPr fontId="0" type="noConversion"/>
  <pageMargins left="0.74803149606299213" right="0.74803149606299213" top="0.39370078740157483" bottom="0.59055118110236227" header="0.31496062992125984" footer="0.51181102362204722"/>
  <pageSetup paperSize="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pane xSplit="2" ySplit="8" topLeftCell="C9" activePane="bottomRight" state="frozen"/>
      <selection pane="topRight" activeCell="D1" sqref="D1"/>
      <selection pane="bottomLeft" activeCell="A9" sqref="A9"/>
      <selection pane="bottomRight" activeCell="N20" sqref="N20"/>
    </sheetView>
  </sheetViews>
  <sheetFormatPr defaultColWidth="9.28515625" defaultRowHeight="15" x14ac:dyDescent="0.25"/>
  <cols>
    <col min="1" max="1" width="6.7109375" style="1" customWidth="1"/>
    <col min="2" max="2" width="52.5703125" style="1" customWidth="1"/>
    <col min="3" max="4" width="9.140625" style="1" customWidth="1"/>
    <col min="5" max="6" width="9.28515625" style="10" customWidth="1"/>
    <col min="7" max="7" width="9.85546875" style="1" customWidth="1"/>
    <col min="8" max="8" width="10.85546875" style="1" customWidth="1"/>
    <col min="9" max="9" width="16.7109375" style="1" customWidth="1"/>
    <col min="10" max="16384" width="9.28515625" style="1"/>
  </cols>
  <sheetData>
    <row r="1" spans="1:10" x14ac:dyDescent="0.25">
      <c r="I1" s="1" t="s">
        <v>572</v>
      </c>
    </row>
    <row r="2" spans="1:10" x14ac:dyDescent="0.25">
      <c r="B2" s="2" t="s">
        <v>0</v>
      </c>
    </row>
    <row r="4" spans="1:10" hidden="1" x14ac:dyDescent="0.25">
      <c r="A4" s="1021" t="s">
        <v>119</v>
      </c>
      <c r="B4" s="1021"/>
      <c r="C4" s="1021"/>
      <c r="D4" s="59"/>
    </row>
    <row r="5" spans="1:10" hidden="1" x14ac:dyDescent="0.25">
      <c r="B5" s="3" t="s">
        <v>455</v>
      </c>
    </row>
    <row r="6" spans="1:10" s="11" customFormat="1" x14ac:dyDescent="0.25">
      <c r="A6" s="166" t="s">
        <v>118</v>
      </c>
      <c r="B6" s="167"/>
      <c r="C6" s="126" t="s">
        <v>78</v>
      </c>
      <c r="D6" s="110" t="s">
        <v>83</v>
      </c>
      <c r="E6" s="126" t="s">
        <v>79</v>
      </c>
      <c r="F6" s="126" t="s">
        <v>192</v>
      </c>
      <c r="G6" s="126" t="s">
        <v>80</v>
      </c>
      <c r="H6" s="126" t="s">
        <v>237</v>
      </c>
      <c r="I6" s="126" t="s">
        <v>598</v>
      </c>
      <c r="J6" s="126" t="s">
        <v>222</v>
      </c>
    </row>
    <row r="7" spans="1:10" s="8" customFormat="1" ht="43.5" customHeight="1" thickBot="1" x14ac:dyDescent="0.3">
      <c r="B7" s="127"/>
      <c r="C7" s="112" t="s">
        <v>72</v>
      </c>
      <c r="D7" s="129" t="s">
        <v>35</v>
      </c>
      <c r="E7" s="128" t="s">
        <v>151</v>
      </c>
      <c r="F7" s="128" t="s">
        <v>193</v>
      </c>
      <c r="G7" s="112" t="s">
        <v>152</v>
      </c>
      <c r="H7" s="271" t="s">
        <v>238</v>
      </c>
      <c r="I7" s="271" t="s">
        <v>599</v>
      </c>
      <c r="J7" s="112" t="s">
        <v>153</v>
      </c>
    </row>
    <row r="8" spans="1:10" ht="34.9" customHeight="1" thickBot="1" x14ac:dyDescent="0.35">
      <c r="A8" s="123" t="s">
        <v>7</v>
      </c>
      <c r="B8" s="158" t="s">
        <v>10</v>
      </c>
      <c r="C8" s="64" t="s">
        <v>456</v>
      </c>
      <c r="D8" s="64" t="s">
        <v>456</v>
      </c>
      <c r="E8" s="64" t="s">
        <v>456</v>
      </c>
      <c r="F8" s="64" t="s">
        <v>456</v>
      </c>
      <c r="G8" s="64" t="s">
        <v>456</v>
      </c>
      <c r="H8" s="64" t="s">
        <v>456</v>
      </c>
      <c r="I8" s="64" t="s">
        <v>456</v>
      </c>
      <c r="J8" s="64" t="s">
        <v>456</v>
      </c>
    </row>
    <row r="9" spans="1:10" x14ac:dyDescent="0.25">
      <c r="A9" s="168">
        <v>1100</v>
      </c>
      <c r="B9" s="161" t="s">
        <v>11</v>
      </c>
      <c r="C9" s="169"/>
      <c r="D9" s="137">
        <v>229777</v>
      </c>
      <c r="E9" s="170">
        <v>118391</v>
      </c>
      <c r="F9" s="156"/>
      <c r="G9" s="399"/>
      <c r="H9" s="169">
        <v>3000</v>
      </c>
      <c r="I9" s="914">
        <v>11250</v>
      </c>
      <c r="J9" s="391">
        <v>7965</v>
      </c>
    </row>
    <row r="10" spans="1:10" ht="30" x14ac:dyDescent="0.25">
      <c r="A10" s="71">
        <v>1200</v>
      </c>
      <c r="B10" s="72" t="s">
        <v>12</v>
      </c>
      <c r="C10" s="171"/>
      <c r="D10" s="73">
        <v>69728</v>
      </c>
      <c r="E10" s="81">
        <v>33659</v>
      </c>
      <c r="F10" s="234"/>
      <c r="G10" s="144"/>
      <c r="H10" s="144">
        <v>1000</v>
      </c>
      <c r="I10" s="144">
        <v>2654</v>
      </c>
      <c r="J10" s="81">
        <v>1262</v>
      </c>
    </row>
    <row r="11" spans="1:10" x14ac:dyDescent="0.25">
      <c r="A11" s="71">
        <v>2000</v>
      </c>
      <c r="B11" s="78" t="s">
        <v>13</v>
      </c>
      <c r="C11" s="115">
        <f t="shared" ref="C11:J11" si="0">SUM(C12:C15)</f>
        <v>52517</v>
      </c>
      <c r="D11" s="115">
        <f t="shared" si="0"/>
        <v>142007</v>
      </c>
      <c r="E11" s="142">
        <f t="shared" si="0"/>
        <v>39475</v>
      </c>
      <c r="F11" s="142">
        <f t="shared" si="0"/>
        <v>28254</v>
      </c>
      <c r="G11" s="115">
        <f t="shared" si="0"/>
        <v>128575</v>
      </c>
      <c r="H11" s="115">
        <f t="shared" ref="H11:I11" si="1">SUM(H12:H15)</f>
        <v>15000</v>
      </c>
      <c r="I11" s="115">
        <f t="shared" si="1"/>
        <v>6096</v>
      </c>
      <c r="J11" s="115">
        <f t="shared" si="0"/>
        <v>55662</v>
      </c>
    </row>
    <row r="12" spans="1:10" x14ac:dyDescent="0.25">
      <c r="A12" s="71">
        <v>2100</v>
      </c>
      <c r="B12" s="78" t="s">
        <v>14</v>
      </c>
      <c r="C12" s="150"/>
      <c r="D12" s="142">
        <v>50</v>
      </c>
      <c r="E12" s="142">
        <v>80</v>
      </c>
      <c r="F12" s="172"/>
      <c r="G12" s="172"/>
      <c r="H12" s="172"/>
      <c r="I12" s="172"/>
      <c r="J12" s="115"/>
    </row>
    <row r="13" spans="1:10" x14ac:dyDescent="0.25">
      <c r="A13" s="71">
        <v>2200</v>
      </c>
      <c r="B13" s="78" t="s">
        <v>15</v>
      </c>
      <c r="C13" s="587">
        <f>35827+6000</f>
        <v>41827</v>
      </c>
      <c r="D13" s="142">
        <f>30691+25596+20000</f>
        <v>76287</v>
      </c>
      <c r="E13" s="142">
        <v>30567</v>
      </c>
      <c r="F13" s="172">
        <f>24904-500</f>
        <v>24404</v>
      </c>
      <c r="G13" s="172">
        <v>87253</v>
      </c>
      <c r="H13" s="172">
        <v>8500</v>
      </c>
      <c r="I13" s="172">
        <v>5180</v>
      </c>
      <c r="J13" s="142">
        <f>61520-5858</f>
        <v>55662</v>
      </c>
    </row>
    <row r="14" spans="1:10" s="12" customFormat="1" ht="30" x14ac:dyDescent="0.25">
      <c r="A14" s="71">
        <v>2300</v>
      </c>
      <c r="B14" s="72" t="s">
        <v>16</v>
      </c>
      <c r="C14" s="150">
        <v>10690</v>
      </c>
      <c r="D14" s="142">
        <f>9820+52000</f>
        <v>61820</v>
      </c>
      <c r="E14" s="142">
        <v>8828</v>
      </c>
      <c r="F14" s="172">
        <f>1350+2500</f>
        <v>3850</v>
      </c>
      <c r="G14" s="172">
        <v>41322</v>
      </c>
      <c r="H14" s="172">
        <v>6500</v>
      </c>
      <c r="I14" s="172">
        <v>916</v>
      </c>
      <c r="J14" s="142"/>
    </row>
    <row r="15" spans="1:10" x14ac:dyDescent="0.25">
      <c r="A15" s="71">
        <v>2400</v>
      </c>
      <c r="B15" s="82" t="s">
        <v>60</v>
      </c>
      <c r="C15" s="150"/>
      <c r="D15" s="142">
        <v>3850</v>
      </c>
      <c r="E15" s="142"/>
      <c r="F15" s="172"/>
      <c r="G15" s="172"/>
      <c r="H15" s="172"/>
      <c r="I15" s="172"/>
      <c r="J15" s="115"/>
    </row>
    <row r="16" spans="1:10" x14ac:dyDescent="0.25">
      <c r="A16" s="71">
        <v>3200</v>
      </c>
      <c r="B16" s="78" t="s">
        <v>18</v>
      </c>
      <c r="C16" s="144">
        <f>5450+6000</f>
        <v>11450</v>
      </c>
      <c r="D16" s="142"/>
      <c r="E16" s="142"/>
      <c r="F16" s="172">
        <f>29300+4000</f>
        <v>33300</v>
      </c>
      <c r="G16" s="172"/>
      <c r="H16" s="172"/>
      <c r="I16" s="172"/>
      <c r="J16" s="115"/>
    </row>
    <row r="17" spans="1:10" x14ac:dyDescent="0.25">
      <c r="A17" s="71">
        <v>4200</v>
      </c>
      <c r="B17" s="78" t="s">
        <v>19</v>
      </c>
      <c r="C17" s="144"/>
      <c r="D17" s="142"/>
      <c r="E17" s="142"/>
      <c r="F17" s="172"/>
      <c r="G17" s="172"/>
      <c r="H17" s="172"/>
      <c r="I17" s="172"/>
      <c r="J17" s="115"/>
    </row>
    <row r="18" spans="1:10" x14ac:dyDescent="0.25">
      <c r="A18" s="71">
        <v>4300</v>
      </c>
      <c r="B18" s="78" t="s">
        <v>20</v>
      </c>
      <c r="C18" s="144"/>
      <c r="D18" s="142"/>
      <c r="E18" s="142"/>
      <c r="F18" s="172"/>
      <c r="G18" s="172"/>
      <c r="H18" s="172"/>
      <c r="I18" s="172"/>
      <c r="J18" s="115"/>
    </row>
    <row r="19" spans="1:10" x14ac:dyDescent="0.25">
      <c r="A19" s="71">
        <v>5100</v>
      </c>
      <c r="B19" s="78" t="s">
        <v>22</v>
      </c>
      <c r="C19" s="144"/>
      <c r="D19" s="142"/>
      <c r="E19" s="142"/>
      <c r="F19" s="172"/>
      <c r="G19" s="172"/>
      <c r="H19" s="172"/>
      <c r="I19" s="172"/>
      <c r="J19" s="115"/>
    </row>
    <row r="20" spans="1:10" x14ac:dyDescent="0.25">
      <c r="A20" s="71">
        <v>5200</v>
      </c>
      <c r="B20" s="78" t="s">
        <v>23</v>
      </c>
      <c r="C20" s="144"/>
      <c r="D20" s="142">
        <f>23500+274404+12100-50000</f>
        <v>260004</v>
      </c>
      <c r="E20" s="173">
        <v>755</v>
      </c>
      <c r="F20" s="174"/>
      <c r="G20" s="174">
        <v>24950</v>
      </c>
      <c r="H20" s="174">
        <v>1000</v>
      </c>
      <c r="I20" s="174"/>
      <c r="J20" s="118"/>
    </row>
    <row r="21" spans="1:10" ht="15.75" thickBot="1" x14ac:dyDescent="0.3">
      <c r="A21" s="71">
        <v>6400</v>
      </c>
      <c r="B21" s="175" t="s">
        <v>77</v>
      </c>
      <c r="C21" s="115">
        <v>2420</v>
      </c>
      <c r="D21" s="142"/>
      <c r="E21" s="177"/>
      <c r="F21" s="177">
        <f>17050-2000</f>
        <v>15050</v>
      </c>
      <c r="G21" s="177"/>
      <c r="H21" s="177"/>
      <c r="I21" s="177"/>
      <c r="J21" s="176"/>
    </row>
    <row r="22" spans="1:10" ht="15.75" thickBot="1" x14ac:dyDescent="0.3">
      <c r="A22" s="62"/>
      <c r="B22" s="102" t="s">
        <v>26</v>
      </c>
      <c r="C22" s="392">
        <f>SUM(C9+C10+C11+C16+C17+C18+C19+C20+C21)</f>
        <v>66387</v>
      </c>
      <c r="D22" s="393">
        <f>SUM(D9+D10+D11+D17+D18+D19+D20)</f>
        <v>701516</v>
      </c>
      <c r="E22" s="394">
        <f>SUM(E9+E10+E11+E17+E18+E19+E20)</f>
        <v>192280</v>
      </c>
      <c r="F22" s="394">
        <f>SUM(F9+F10+F11+F16+F17+F18+F19+F20+F21)</f>
        <v>76604</v>
      </c>
      <c r="G22" s="394">
        <f>SUM(G9+G10+G11+G17+G18+G19+G20)</f>
        <v>153525</v>
      </c>
      <c r="H22" s="394">
        <f>SUM(H9+H10+H11+H17+H18+H19+H20)</f>
        <v>20000</v>
      </c>
      <c r="I22" s="394">
        <f>SUM(I9+I10+I11+I17+I18+I19+I20)</f>
        <v>20000</v>
      </c>
      <c r="J22" s="395">
        <f>SUM(J9+J10+J11+J16+J17+J18+J19+J20+J21)</f>
        <v>64889</v>
      </c>
    </row>
    <row r="23" spans="1:10" x14ac:dyDescent="0.25">
      <c r="B23" s="157"/>
      <c r="C23" s="7"/>
      <c r="D23" s="7"/>
      <c r="E23" s="7"/>
      <c r="F23" s="7"/>
      <c r="G23" s="178"/>
      <c r="H23" s="230"/>
      <c r="I23" s="230"/>
      <c r="J23" s="3"/>
    </row>
    <row r="24" spans="1:10" x14ac:dyDescent="0.25">
      <c r="B24" s="157"/>
      <c r="C24" s="165"/>
      <c r="D24" s="165"/>
      <c r="E24" s="165"/>
      <c r="F24" s="165"/>
      <c r="G24" s="165"/>
      <c r="H24" s="165"/>
      <c r="I24" s="165"/>
      <c r="J24" s="165"/>
    </row>
    <row r="25" spans="1:10" x14ac:dyDescent="0.25">
      <c r="B25" s="8" t="s">
        <v>149</v>
      </c>
      <c r="C25" s="1" t="s">
        <v>41</v>
      </c>
      <c r="D25" s="8"/>
      <c r="E25" s="1"/>
      <c r="F25" s="1"/>
    </row>
  </sheetData>
  <mergeCells count="1">
    <mergeCell ref="A4:C4"/>
  </mergeCells>
  <phoneticPr fontId="0" type="noConversion"/>
  <pageMargins left="0.55118110236220474" right="0.55118110236220474" top="0" bottom="0.59055118110236227" header="0.11811023622047245" footer="0.51181102362204722"/>
  <pageSetup paperSize="9" scale="90" firstPageNumber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45"/>
  <sheetViews>
    <sheetView workbookViewId="0">
      <selection activeCell="H18" sqref="H18"/>
    </sheetView>
  </sheetViews>
  <sheetFormatPr defaultColWidth="8.85546875" defaultRowHeight="15.75" x14ac:dyDescent="0.25"/>
  <cols>
    <col min="1" max="1" width="57.85546875" style="235" customWidth="1"/>
    <col min="2" max="2" width="9.7109375" style="16" customWidth="1"/>
    <col min="3" max="3" width="8.7109375" style="16" customWidth="1"/>
    <col min="4" max="5" width="11" style="16" customWidth="1"/>
    <col min="6" max="6" width="23.7109375" style="16" customWidth="1"/>
    <col min="7" max="258" width="8.85546875" style="16"/>
    <col min="259" max="259" width="57.85546875" style="16" customWidth="1"/>
    <col min="260" max="260" width="9.7109375" style="16" customWidth="1"/>
    <col min="261" max="261" width="11" style="16" customWidth="1"/>
    <col min="262" max="262" width="23.7109375" style="16" customWidth="1"/>
    <col min="263" max="514" width="8.85546875" style="16"/>
    <col min="515" max="515" width="57.85546875" style="16" customWidth="1"/>
    <col min="516" max="516" width="9.7109375" style="16" customWidth="1"/>
    <col min="517" max="517" width="11" style="16" customWidth="1"/>
    <col min="518" max="518" width="23.7109375" style="16" customWidth="1"/>
    <col min="519" max="770" width="8.85546875" style="16"/>
    <col min="771" max="771" width="57.85546875" style="16" customWidth="1"/>
    <col min="772" max="772" width="9.7109375" style="16" customWidth="1"/>
    <col min="773" max="773" width="11" style="16" customWidth="1"/>
    <col min="774" max="774" width="23.7109375" style="16" customWidth="1"/>
    <col min="775" max="1026" width="8.85546875" style="16"/>
    <col min="1027" max="1027" width="57.85546875" style="16" customWidth="1"/>
    <col min="1028" max="1028" width="9.7109375" style="16" customWidth="1"/>
    <col min="1029" max="1029" width="11" style="16" customWidth="1"/>
    <col min="1030" max="1030" width="23.7109375" style="16" customWidth="1"/>
    <col min="1031" max="1282" width="8.85546875" style="16"/>
    <col min="1283" max="1283" width="57.85546875" style="16" customWidth="1"/>
    <col min="1284" max="1284" width="9.7109375" style="16" customWidth="1"/>
    <col min="1285" max="1285" width="11" style="16" customWidth="1"/>
    <col min="1286" max="1286" width="23.7109375" style="16" customWidth="1"/>
    <col min="1287" max="1538" width="8.85546875" style="16"/>
    <col min="1539" max="1539" width="57.85546875" style="16" customWidth="1"/>
    <col min="1540" max="1540" width="9.7109375" style="16" customWidth="1"/>
    <col min="1541" max="1541" width="11" style="16" customWidth="1"/>
    <col min="1542" max="1542" width="23.7109375" style="16" customWidth="1"/>
    <col min="1543" max="1794" width="8.85546875" style="16"/>
    <col min="1795" max="1795" width="57.85546875" style="16" customWidth="1"/>
    <col min="1796" max="1796" width="9.7109375" style="16" customWidth="1"/>
    <col min="1797" max="1797" width="11" style="16" customWidth="1"/>
    <col min="1798" max="1798" width="23.7109375" style="16" customWidth="1"/>
    <col min="1799" max="2050" width="8.85546875" style="16"/>
    <col min="2051" max="2051" width="57.85546875" style="16" customWidth="1"/>
    <col min="2052" max="2052" width="9.7109375" style="16" customWidth="1"/>
    <col min="2053" max="2053" width="11" style="16" customWidth="1"/>
    <col min="2054" max="2054" width="23.7109375" style="16" customWidth="1"/>
    <col min="2055" max="2306" width="8.85546875" style="16"/>
    <col min="2307" max="2307" width="57.85546875" style="16" customWidth="1"/>
    <col min="2308" max="2308" width="9.7109375" style="16" customWidth="1"/>
    <col min="2309" max="2309" width="11" style="16" customWidth="1"/>
    <col min="2310" max="2310" width="23.7109375" style="16" customWidth="1"/>
    <col min="2311" max="2562" width="8.85546875" style="16"/>
    <col min="2563" max="2563" width="57.85546875" style="16" customWidth="1"/>
    <col min="2564" max="2564" width="9.7109375" style="16" customWidth="1"/>
    <col min="2565" max="2565" width="11" style="16" customWidth="1"/>
    <col min="2566" max="2566" width="23.7109375" style="16" customWidth="1"/>
    <col min="2567" max="2818" width="8.85546875" style="16"/>
    <col min="2819" max="2819" width="57.85546875" style="16" customWidth="1"/>
    <col min="2820" max="2820" width="9.7109375" style="16" customWidth="1"/>
    <col min="2821" max="2821" width="11" style="16" customWidth="1"/>
    <col min="2822" max="2822" width="23.7109375" style="16" customWidth="1"/>
    <col min="2823" max="3074" width="8.85546875" style="16"/>
    <col min="3075" max="3075" width="57.85546875" style="16" customWidth="1"/>
    <col min="3076" max="3076" width="9.7109375" style="16" customWidth="1"/>
    <col min="3077" max="3077" width="11" style="16" customWidth="1"/>
    <col min="3078" max="3078" width="23.7109375" style="16" customWidth="1"/>
    <col min="3079" max="3330" width="8.85546875" style="16"/>
    <col min="3331" max="3331" width="57.85546875" style="16" customWidth="1"/>
    <col min="3332" max="3332" width="9.7109375" style="16" customWidth="1"/>
    <col min="3333" max="3333" width="11" style="16" customWidth="1"/>
    <col min="3334" max="3334" width="23.7109375" style="16" customWidth="1"/>
    <col min="3335" max="3586" width="8.85546875" style="16"/>
    <col min="3587" max="3587" width="57.85546875" style="16" customWidth="1"/>
    <col min="3588" max="3588" width="9.7109375" style="16" customWidth="1"/>
    <col min="3589" max="3589" width="11" style="16" customWidth="1"/>
    <col min="3590" max="3590" width="23.7109375" style="16" customWidth="1"/>
    <col min="3591" max="3842" width="8.85546875" style="16"/>
    <col min="3843" max="3843" width="57.85546875" style="16" customWidth="1"/>
    <col min="3844" max="3844" width="9.7109375" style="16" customWidth="1"/>
    <col min="3845" max="3845" width="11" style="16" customWidth="1"/>
    <col min="3846" max="3846" width="23.7109375" style="16" customWidth="1"/>
    <col min="3847" max="4098" width="8.85546875" style="16"/>
    <col min="4099" max="4099" width="57.85546875" style="16" customWidth="1"/>
    <col min="4100" max="4100" width="9.7109375" style="16" customWidth="1"/>
    <col min="4101" max="4101" width="11" style="16" customWidth="1"/>
    <col min="4102" max="4102" width="23.7109375" style="16" customWidth="1"/>
    <col min="4103" max="4354" width="8.85546875" style="16"/>
    <col min="4355" max="4355" width="57.85546875" style="16" customWidth="1"/>
    <col min="4356" max="4356" width="9.7109375" style="16" customWidth="1"/>
    <col min="4357" max="4357" width="11" style="16" customWidth="1"/>
    <col min="4358" max="4358" width="23.7109375" style="16" customWidth="1"/>
    <col min="4359" max="4610" width="8.85546875" style="16"/>
    <col min="4611" max="4611" width="57.85546875" style="16" customWidth="1"/>
    <col min="4612" max="4612" width="9.7109375" style="16" customWidth="1"/>
    <col min="4613" max="4613" width="11" style="16" customWidth="1"/>
    <col min="4614" max="4614" width="23.7109375" style="16" customWidth="1"/>
    <col min="4615" max="4866" width="8.85546875" style="16"/>
    <col min="4867" max="4867" width="57.85546875" style="16" customWidth="1"/>
    <col min="4868" max="4868" width="9.7109375" style="16" customWidth="1"/>
    <col min="4869" max="4869" width="11" style="16" customWidth="1"/>
    <col min="4870" max="4870" width="23.7109375" style="16" customWidth="1"/>
    <col min="4871" max="5122" width="8.85546875" style="16"/>
    <col min="5123" max="5123" width="57.85546875" style="16" customWidth="1"/>
    <col min="5124" max="5124" width="9.7109375" style="16" customWidth="1"/>
    <col min="5125" max="5125" width="11" style="16" customWidth="1"/>
    <col min="5126" max="5126" width="23.7109375" style="16" customWidth="1"/>
    <col min="5127" max="5378" width="8.85546875" style="16"/>
    <col min="5379" max="5379" width="57.85546875" style="16" customWidth="1"/>
    <col min="5380" max="5380" width="9.7109375" style="16" customWidth="1"/>
    <col min="5381" max="5381" width="11" style="16" customWidth="1"/>
    <col min="5382" max="5382" width="23.7109375" style="16" customWidth="1"/>
    <col min="5383" max="5634" width="8.85546875" style="16"/>
    <col min="5635" max="5635" width="57.85546875" style="16" customWidth="1"/>
    <col min="5636" max="5636" width="9.7109375" style="16" customWidth="1"/>
    <col min="5637" max="5637" width="11" style="16" customWidth="1"/>
    <col min="5638" max="5638" width="23.7109375" style="16" customWidth="1"/>
    <col min="5639" max="5890" width="8.85546875" style="16"/>
    <col min="5891" max="5891" width="57.85546875" style="16" customWidth="1"/>
    <col min="5892" max="5892" width="9.7109375" style="16" customWidth="1"/>
    <col min="5893" max="5893" width="11" style="16" customWidth="1"/>
    <col min="5894" max="5894" width="23.7109375" style="16" customWidth="1"/>
    <col min="5895" max="6146" width="8.85546875" style="16"/>
    <col min="6147" max="6147" width="57.85546875" style="16" customWidth="1"/>
    <col min="6148" max="6148" width="9.7109375" style="16" customWidth="1"/>
    <col min="6149" max="6149" width="11" style="16" customWidth="1"/>
    <col min="6150" max="6150" width="23.7109375" style="16" customWidth="1"/>
    <col min="6151" max="6402" width="8.85546875" style="16"/>
    <col min="6403" max="6403" width="57.85546875" style="16" customWidth="1"/>
    <col min="6404" max="6404" width="9.7109375" style="16" customWidth="1"/>
    <col min="6405" max="6405" width="11" style="16" customWidth="1"/>
    <col min="6406" max="6406" width="23.7109375" style="16" customWidth="1"/>
    <col min="6407" max="6658" width="8.85546875" style="16"/>
    <col min="6659" max="6659" width="57.85546875" style="16" customWidth="1"/>
    <col min="6660" max="6660" width="9.7109375" style="16" customWidth="1"/>
    <col min="6661" max="6661" width="11" style="16" customWidth="1"/>
    <col min="6662" max="6662" width="23.7109375" style="16" customWidth="1"/>
    <col min="6663" max="6914" width="8.85546875" style="16"/>
    <col min="6915" max="6915" width="57.85546875" style="16" customWidth="1"/>
    <col min="6916" max="6916" width="9.7109375" style="16" customWidth="1"/>
    <col min="6917" max="6917" width="11" style="16" customWidth="1"/>
    <col min="6918" max="6918" width="23.7109375" style="16" customWidth="1"/>
    <col min="6919" max="7170" width="8.85546875" style="16"/>
    <col min="7171" max="7171" width="57.85546875" style="16" customWidth="1"/>
    <col min="7172" max="7172" width="9.7109375" style="16" customWidth="1"/>
    <col min="7173" max="7173" width="11" style="16" customWidth="1"/>
    <col min="7174" max="7174" width="23.7109375" style="16" customWidth="1"/>
    <col min="7175" max="7426" width="8.85546875" style="16"/>
    <col min="7427" max="7427" width="57.85546875" style="16" customWidth="1"/>
    <col min="7428" max="7428" width="9.7109375" style="16" customWidth="1"/>
    <col min="7429" max="7429" width="11" style="16" customWidth="1"/>
    <col min="7430" max="7430" width="23.7109375" style="16" customWidth="1"/>
    <col min="7431" max="7682" width="8.85546875" style="16"/>
    <col min="7683" max="7683" width="57.85546875" style="16" customWidth="1"/>
    <col min="7684" max="7684" width="9.7109375" style="16" customWidth="1"/>
    <col min="7685" max="7685" width="11" style="16" customWidth="1"/>
    <col min="7686" max="7686" width="23.7109375" style="16" customWidth="1"/>
    <col min="7687" max="7938" width="8.85546875" style="16"/>
    <col min="7939" max="7939" width="57.85546875" style="16" customWidth="1"/>
    <col min="7940" max="7940" width="9.7109375" style="16" customWidth="1"/>
    <col min="7941" max="7941" width="11" style="16" customWidth="1"/>
    <col min="7942" max="7942" width="23.7109375" style="16" customWidth="1"/>
    <col min="7943" max="8194" width="8.85546875" style="16"/>
    <col min="8195" max="8195" width="57.85546875" style="16" customWidth="1"/>
    <col min="8196" max="8196" width="9.7109375" style="16" customWidth="1"/>
    <col min="8197" max="8197" width="11" style="16" customWidth="1"/>
    <col min="8198" max="8198" width="23.7109375" style="16" customWidth="1"/>
    <col min="8199" max="8450" width="8.85546875" style="16"/>
    <col min="8451" max="8451" width="57.85546875" style="16" customWidth="1"/>
    <col min="8452" max="8452" width="9.7109375" style="16" customWidth="1"/>
    <col min="8453" max="8453" width="11" style="16" customWidth="1"/>
    <col min="8454" max="8454" width="23.7109375" style="16" customWidth="1"/>
    <col min="8455" max="8706" width="8.85546875" style="16"/>
    <col min="8707" max="8707" width="57.85546875" style="16" customWidth="1"/>
    <col min="8708" max="8708" width="9.7109375" style="16" customWidth="1"/>
    <col min="8709" max="8709" width="11" style="16" customWidth="1"/>
    <col min="8710" max="8710" width="23.7109375" style="16" customWidth="1"/>
    <col min="8711" max="8962" width="8.85546875" style="16"/>
    <col min="8963" max="8963" width="57.85546875" style="16" customWidth="1"/>
    <col min="8964" max="8964" width="9.7109375" style="16" customWidth="1"/>
    <col min="8965" max="8965" width="11" style="16" customWidth="1"/>
    <col min="8966" max="8966" width="23.7109375" style="16" customWidth="1"/>
    <col min="8967" max="9218" width="8.85546875" style="16"/>
    <col min="9219" max="9219" width="57.85546875" style="16" customWidth="1"/>
    <col min="9220" max="9220" width="9.7109375" style="16" customWidth="1"/>
    <col min="9221" max="9221" width="11" style="16" customWidth="1"/>
    <col min="9222" max="9222" width="23.7109375" style="16" customWidth="1"/>
    <col min="9223" max="9474" width="8.85546875" style="16"/>
    <col min="9475" max="9475" width="57.85546875" style="16" customWidth="1"/>
    <col min="9476" max="9476" width="9.7109375" style="16" customWidth="1"/>
    <col min="9477" max="9477" width="11" style="16" customWidth="1"/>
    <col min="9478" max="9478" width="23.7109375" style="16" customWidth="1"/>
    <col min="9479" max="9730" width="8.85546875" style="16"/>
    <col min="9731" max="9731" width="57.85546875" style="16" customWidth="1"/>
    <col min="9732" max="9732" width="9.7109375" style="16" customWidth="1"/>
    <col min="9733" max="9733" width="11" style="16" customWidth="1"/>
    <col min="9734" max="9734" width="23.7109375" style="16" customWidth="1"/>
    <col min="9735" max="9986" width="8.85546875" style="16"/>
    <col min="9987" max="9987" width="57.85546875" style="16" customWidth="1"/>
    <col min="9988" max="9988" width="9.7109375" style="16" customWidth="1"/>
    <col min="9989" max="9989" width="11" style="16" customWidth="1"/>
    <col min="9990" max="9990" width="23.7109375" style="16" customWidth="1"/>
    <col min="9991" max="10242" width="8.85546875" style="16"/>
    <col min="10243" max="10243" width="57.85546875" style="16" customWidth="1"/>
    <col min="10244" max="10244" width="9.7109375" style="16" customWidth="1"/>
    <col min="10245" max="10245" width="11" style="16" customWidth="1"/>
    <col min="10246" max="10246" width="23.7109375" style="16" customWidth="1"/>
    <col min="10247" max="10498" width="8.85546875" style="16"/>
    <col min="10499" max="10499" width="57.85546875" style="16" customWidth="1"/>
    <col min="10500" max="10500" width="9.7109375" style="16" customWidth="1"/>
    <col min="10501" max="10501" width="11" style="16" customWidth="1"/>
    <col min="10502" max="10502" width="23.7109375" style="16" customWidth="1"/>
    <col min="10503" max="10754" width="8.85546875" style="16"/>
    <col min="10755" max="10755" width="57.85546875" style="16" customWidth="1"/>
    <col min="10756" max="10756" width="9.7109375" style="16" customWidth="1"/>
    <col min="10757" max="10757" width="11" style="16" customWidth="1"/>
    <col min="10758" max="10758" width="23.7109375" style="16" customWidth="1"/>
    <col min="10759" max="11010" width="8.85546875" style="16"/>
    <col min="11011" max="11011" width="57.85546875" style="16" customWidth="1"/>
    <col min="11012" max="11012" width="9.7109375" style="16" customWidth="1"/>
    <col min="11013" max="11013" width="11" style="16" customWidth="1"/>
    <col min="11014" max="11014" width="23.7109375" style="16" customWidth="1"/>
    <col min="11015" max="11266" width="8.85546875" style="16"/>
    <col min="11267" max="11267" width="57.85546875" style="16" customWidth="1"/>
    <col min="11268" max="11268" width="9.7109375" style="16" customWidth="1"/>
    <col min="11269" max="11269" width="11" style="16" customWidth="1"/>
    <col min="11270" max="11270" width="23.7109375" style="16" customWidth="1"/>
    <col min="11271" max="11522" width="8.85546875" style="16"/>
    <col min="11523" max="11523" width="57.85546875" style="16" customWidth="1"/>
    <col min="11524" max="11524" width="9.7109375" style="16" customWidth="1"/>
    <col min="11525" max="11525" width="11" style="16" customWidth="1"/>
    <col min="11526" max="11526" width="23.7109375" style="16" customWidth="1"/>
    <col min="11527" max="11778" width="8.85546875" style="16"/>
    <col min="11779" max="11779" width="57.85546875" style="16" customWidth="1"/>
    <col min="11780" max="11780" width="9.7109375" style="16" customWidth="1"/>
    <col min="11781" max="11781" width="11" style="16" customWidth="1"/>
    <col min="11782" max="11782" width="23.7109375" style="16" customWidth="1"/>
    <col min="11783" max="12034" width="8.85546875" style="16"/>
    <col min="12035" max="12035" width="57.85546875" style="16" customWidth="1"/>
    <col min="12036" max="12036" width="9.7109375" style="16" customWidth="1"/>
    <col min="12037" max="12037" width="11" style="16" customWidth="1"/>
    <col min="12038" max="12038" width="23.7109375" style="16" customWidth="1"/>
    <col min="12039" max="12290" width="8.85546875" style="16"/>
    <col min="12291" max="12291" width="57.85546875" style="16" customWidth="1"/>
    <col min="12292" max="12292" width="9.7109375" style="16" customWidth="1"/>
    <col min="12293" max="12293" width="11" style="16" customWidth="1"/>
    <col min="12294" max="12294" width="23.7109375" style="16" customWidth="1"/>
    <col min="12295" max="12546" width="8.85546875" style="16"/>
    <col min="12547" max="12547" width="57.85546875" style="16" customWidth="1"/>
    <col min="12548" max="12548" width="9.7109375" style="16" customWidth="1"/>
    <col min="12549" max="12549" width="11" style="16" customWidth="1"/>
    <col min="12550" max="12550" width="23.7109375" style="16" customWidth="1"/>
    <col min="12551" max="12802" width="8.85546875" style="16"/>
    <col min="12803" max="12803" width="57.85546875" style="16" customWidth="1"/>
    <col min="12804" max="12804" width="9.7109375" style="16" customWidth="1"/>
    <col min="12805" max="12805" width="11" style="16" customWidth="1"/>
    <col min="12806" max="12806" width="23.7109375" style="16" customWidth="1"/>
    <col min="12807" max="13058" width="8.85546875" style="16"/>
    <col min="13059" max="13059" width="57.85546875" style="16" customWidth="1"/>
    <col min="13060" max="13060" width="9.7109375" style="16" customWidth="1"/>
    <col min="13061" max="13061" width="11" style="16" customWidth="1"/>
    <col min="13062" max="13062" width="23.7109375" style="16" customWidth="1"/>
    <col min="13063" max="13314" width="8.85546875" style="16"/>
    <col min="13315" max="13315" width="57.85546875" style="16" customWidth="1"/>
    <col min="13316" max="13316" width="9.7109375" style="16" customWidth="1"/>
    <col min="13317" max="13317" width="11" style="16" customWidth="1"/>
    <col min="13318" max="13318" width="23.7109375" style="16" customWidth="1"/>
    <col min="13319" max="13570" width="8.85546875" style="16"/>
    <col min="13571" max="13571" width="57.85546875" style="16" customWidth="1"/>
    <col min="13572" max="13572" width="9.7109375" style="16" customWidth="1"/>
    <col min="13573" max="13573" width="11" style="16" customWidth="1"/>
    <col min="13574" max="13574" width="23.7109375" style="16" customWidth="1"/>
    <col min="13575" max="13826" width="8.85546875" style="16"/>
    <col min="13827" max="13827" width="57.85546875" style="16" customWidth="1"/>
    <col min="13828" max="13828" width="9.7109375" style="16" customWidth="1"/>
    <col min="13829" max="13829" width="11" style="16" customWidth="1"/>
    <col min="13830" max="13830" width="23.7109375" style="16" customWidth="1"/>
    <col min="13831" max="14082" width="8.85546875" style="16"/>
    <col min="14083" max="14083" width="57.85546875" style="16" customWidth="1"/>
    <col min="14084" max="14084" width="9.7109375" style="16" customWidth="1"/>
    <col min="14085" max="14085" width="11" style="16" customWidth="1"/>
    <col min="14086" max="14086" width="23.7109375" style="16" customWidth="1"/>
    <col min="14087" max="14338" width="8.85546875" style="16"/>
    <col min="14339" max="14339" width="57.85546875" style="16" customWidth="1"/>
    <col min="14340" max="14340" width="9.7109375" style="16" customWidth="1"/>
    <col min="14341" max="14341" width="11" style="16" customWidth="1"/>
    <col min="14342" max="14342" width="23.7109375" style="16" customWidth="1"/>
    <col min="14343" max="14594" width="8.85546875" style="16"/>
    <col min="14595" max="14595" width="57.85546875" style="16" customWidth="1"/>
    <col min="14596" max="14596" width="9.7109375" style="16" customWidth="1"/>
    <col min="14597" max="14597" width="11" style="16" customWidth="1"/>
    <col min="14598" max="14598" width="23.7109375" style="16" customWidth="1"/>
    <col min="14599" max="14850" width="8.85546875" style="16"/>
    <col min="14851" max="14851" width="57.85546875" style="16" customWidth="1"/>
    <col min="14852" max="14852" width="9.7109375" style="16" customWidth="1"/>
    <col min="14853" max="14853" width="11" style="16" customWidth="1"/>
    <col min="14854" max="14854" width="23.7109375" style="16" customWidth="1"/>
    <col min="14855" max="15106" width="8.85546875" style="16"/>
    <col min="15107" max="15107" width="57.85546875" style="16" customWidth="1"/>
    <col min="15108" max="15108" width="9.7109375" style="16" customWidth="1"/>
    <col min="15109" max="15109" width="11" style="16" customWidth="1"/>
    <col min="15110" max="15110" width="23.7109375" style="16" customWidth="1"/>
    <col min="15111" max="15362" width="8.85546875" style="16"/>
    <col min="15363" max="15363" width="57.85546875" style="16" customWidth="1"/>
    <col min="15364" max="15364" width="9.7109375" style="16" customWidth="1"/>
    <col min="15365" max="15365" width="11" style="16" customWidth="1"/>
    <col min="15366" max="15366" width="23.7109375" style="16" customWidth="1"/>
    <col min="15367" max="15618" width="8.85546875" style="16"/>
    <col min="15619" max="15619" width="57.85546875" style="16" customWidth="1"/>
    <col min="15620" max="15620" width="9.7109375" style="16" customWidth="1"/>
    <col min="15621" max="15621" width="11" style="16" customWidth="1"/>
    <col min="15622" max="15622" width="23.7109375" style="16" customWidth="1"/>
    <col min="15623" max="15874" width="8.85546875" style="16"/>
    <col min="15875" max="15875" width="57.85546875" style="16" customWidth="1"/>
    <col min="15876" max="15876" width="9.7109375" style="16" customWidth="1"/>
    <col min="15877" max="15877" width="11" style="16" customWidth="1"/>
    <col min="15878" max="15878" width="23.7109375" style="16" customWidth="1"/>
    <col min="15879" max="16130" width="8.85546875" style="16"/>
    <col min="16131" max="16131" width="57.85546875" style="16" customWidth="1"/>
    <col min="16132" max="16132" width="9.7109375" style="16" customWidth="1"/>
    <col min="16133" max="16133" width="11" style="16" customWidth="1"/>
    <col min="16134" max="16134" width="23.7109375" style="16" customWidth="1"/>
    <col min="16135" max="16384" width="8.85546875" style="16"/>
  </cols>
  <sheetData>
    <row r="1" spans="1:9" x14ac:dyDescent="0.25">
      <c r="A1" s="1" t="s">
        <v>572</v>
      </c>
      <c r="B1" s="1"/>
      <c r="C1" s="1"/>
    </row>
    <row r="2" spans="1:9" ht="20.25" x14ac:dyDescent="0.3">
      <c r="A2" s="1022" t="s">
        <v>194</v>
      </c>
      <c r="B2" s="1022"/>
      <c r="C2" s="1022"/>
      <c r="D2" s="1022"/>
      <c r="E2" s="1022"/>
      <c r="F2" s="1022"/>
    </row>
    <row r="4" spans="1:9" ht="37.5" x14ac:dyDescent="0.3">
      <c r="A4" s="413" t="s">
        <v>195</v>
      </c>
      <c r="B4" s="413" t="s">
        <v>196</v>
      </c>
      <c r="C4" s="414" t="s">
        <v>197</v>
      </c>
      <c r="D4" s="899"/>
      <c r="E4" s="575"/>
    </row>
    <row r="5" spans="1:9" x14ac:dyDescent="0.25">
      <c r="A5" s="236" t="s">
        <v>340</v>
      </c>
      <c r="B5" s="550">
        <v>800</v>
      </c>
      <c r="C5" s="17">
        <v>3200</v>
      </c>
      <c r="D5" s="576"/>
      <c r="E5" s="576"/>
    </row>
    <row r="6" spans="1:9" x14ac:dyDescent="0.25">
      <c r="A6" s="236" t="s">
        <v>580</v>
      </c>
      <c r="B6" s="287">
        <v>4000</v>
      </c>
      <c r="C6" s="17">
        <v>3200</v>
      </c>
      <c r="D6" s="899"/>
      <c r="E6" s="576"/>
    </row>
    <row r="7" spans="1:9" ht="31.5" x14ac:dyDescent="0.25">
      <c r="A7" s="236" t="s">
        <v>474</v>
      </c>
      <c r="B7" s="287">
        <v>504</v>
      </c>
      <c r="C7" s="563">
        <v>2200</v>
      </c>
      <c r="D7" s="577"/>
      <c r="E7" s="576"/>
    </row>
    <row r="8" spans="1:9" x14ac:dyDescent="0.25">
      <c r="A8" s="236" t="s">
        <v>632</v>
      </c>
      <c r="B8" s="550">
        <v>2000</v>
      </c>
      <c r="C8" s="17">
        <v>3200</v>
      </c>
      <c r="D8" s="577"/>
      <c r="E8" s="576"/>
    </row>
    <row r="9" spans="1:9" x14ac:dyDescent="0.25">
      <c r="A9" s="236" t="s">
        <v>462</v>
      </c>
      <c r="B9" s="415">
        <v>10000</v>
      </c>
      <c r="C9" s="17">
        <f>'[1]Kultūras aktivit.'!$C$9</f>
        <v>3200</v>
      </c>
      <c r="D9" s="577"/>
      <c r="E9" s="576"/>
    </row>
    <row r="10" spans="1:9" ht="31.5" x14ac:dyDescent="0.25">
      <c r="A10" s="236" t="s">
        <v>463</v>
      </c>
      <c r="B10" s="415">
        <v>15000</v>
      </c>
      <c r="C10" s="563">
        <f>'[1]Kultūras aktivit.'!$C$12</f>
        <v>3200</v>
      </c>
      <c r="D10" s="577"/>
      <c r="E10" s="576"/>
    </row>
    <row r="11" spans="1:9" ht="31.5" x14ac:dyDescent="0.25">
      <c r="A11" s="236" t="s">
        <v>464</v>
      </c>
      <c r="B11" s="416">
        <v>1500</v>
      </c>
      <c r="C11" s="17">
        <v>3200</v>
      </c>
      <c r="D11" s="576"/>
      <c r="E11" s="576"/>
    </row>
    <row r="12" spans="1:9" x14ac:dyDescent="0.25">
      <c r="A12" s="236" t="s">
        <v>344</v>
      </c>
      <c r="B12" s="416">
        <v>2200</v>
      </c>
      <c r="C12" s="17">
        <v>2200</v>
      </c>
      <c r="D12" s="576"/>
      <c r="E12" s="578"/>
    </row>
    <row r="13" spans="1:9" x14ac:dyDescent="0.25">
      <c r="A13" s="1017" t="s">
        <v>341</v>
      </c>
      <c r="B13" s="17">
        <v>2200</v>
      </c>
      <c r="C13" s="17">
        <v>2200</v>
      </c>
      <c r="D13" s="576"/>
      <c r="E13" s="576"/>
      <c r="F13" s="551"/>
      <c r="G13" s="551"/>
      <c r="H13" s="551"/>
      <c r="I13" s="551"/>
    </row>
    <row r="14" spans="1:9" x14ac:dyDescent="0.25">
      <c r="A14" s="236" t="s">
        <v>342</v>
      </c>
      <c r="B14" s="17">
        <v>1500</v>
      </c>
      <c r="C14" s="17">
        <v>2200</v>
      </c>
      <c r="D14" s="576"/>
      <c r="E14" s="576"/>
      <c r="F14" s="551"/>
    </row>
    <row r="15" spans="1:9" x14ac:dyDescent="0.25">
      <c r="A15" s="236" t="s">
        <v>342</v>
      </c>
      <c r="B15" s="17">
        <v>210</v>
      </c>
      <c r="C15" s="17">
        <v>2300</v>
      </c>
      <c r="D15" s="576"/>
      <c r="E15" s="576"/>
      <c r="F15" s="551"/>
    </row>
    <row r="16" spans="1:9" x14ac:dyDescent="0.25">
      <c r="A16" s="417" t="s">
        <v>465</v>
      </c>
      <c r="B16" s="552">
        <v>1500</v>
      </c>
      <c r="C16" s="17">
        <v>6400</v>
      </c>
      <c r="D16" s="576"/>
      <c r="E16" s="576"/>
      <c r="F16" s="551"/>
    </row>
    <row r="17" spans="1:258" x14ac:dyDescent="0.25">
      <c r="A17" s="419" t="s">
        <v>199</v>
      </c>
      <c r="B17" s="17">
        <v>3700</v>
      </c>
      <c r="C17" s="17">
        <v>6400</v>
      </c>
      <c r="D17" s="576"/>
      <c r="E17" s="576"/>
      <c r="F17" s="551"/>
    </row>
    <row r="18" spans="1:258" x14ac:dyDescent="0.25">
      <c r="A18" s="419" t="s">
        <v>199</v>
      </c>
      <c r="B18" s="17">
        <v>140</v>
      </c>
      <c r="C18" s="17">
        <v>2300</v>
      </c>
      <c r="D18" s="576"/>
      <c r="E18" s="576"/>
      <c r="F18" s="551"/>
      <c r="G18" s="551"/>
      <c r="H18" s="551"/>
      <c r="I18" s="551"/>
    </row>
    <row r="19" spans="1:258" x14ac:dyDescent="0.25">
      <c r="A19" s="419" t="s">
        <v>198</v>
      </c>
      <c r="B19" s="17">
        <v>5000</v>
      </c>
      <c r="C19" s="17">
        <v>2200</v>
      </c>
      <c r="D19" s="576"/>
      <c r="E19" s="576"/>
      <c r="F19" s="551"/>
      <c r="G19" s="551"/>
      <c r="H19" s="551"/>
      <c r="I19" s="551"/>
    </row>
    <row r="20" spans="1:258" x14ac:dyDescent="0.25">
      <c r="A20" s="419" t="s">
        <v>198</v>
      </c>
      <c r="B20" s="17">
        <v>1000</v>
      </c>
      <c r="C20" s="17">
        <v>2300</v>
      </c>
      <c r="D20" s="576"/>
      <c r="E20" s="576"/>
      <c r="F20" s="551"/>
      <c r="G20" s="551"/>
      <c r="H20" s="551"/>
      <c r="I20" s="551"/>
    </row>
    <row r="21" spans="1:258" x14ac:dyDescent="0.25">
      <c r="A21" s="419" t="s">
        <v>466</v>
      </c>
      <c r="B21" s="17">
        <v>1800</v>
      </c>
      <c r="C21" s="17">
        <v>6400</v>
      </c>
      <c r="D21" s="576"/>
      <c r="E21" s="576"/>
      <c r="F21" s="551"/>
    </row>
    <row r="22" spans="1:258" x14ac:dyDescent="0.25">
      <c r="A22" s="562" t="s">
        <v>343</v>
      </c>
      <c r="B22" s="563">
        <v>3000</v>
      </c>
      <c r="C22" s="563">
        <v>2200</v>
      </c>
      <c r="D22" s="902"/>
      <c r="E22" s="577"/>
      <c r="F22" s="553"/>
    </row>
    <row r="23" spans="1:258" x14ac:dyDescent="0.25">
      <c r="A23" s="419" t="s">
        <v>200</v>
      </c>
      <c r="B23" s="17">
        <v>3000</v>
      </c>
      <c r="C23" s="17">
        <v>2200</v>
      </c>
      <c r="D23" s="903"/>
      <c r="E23" s="576"/>
    </row>
    <row r="24" spans="1:258" x14ac:dyDescent="0.25">
      <c r="A24" s="419" t="s">
        <v>592</v>
      </c>
      <c r="B24" s="17">
        <v>2000</v>
      </c>
      <c r="C24" s="17">
        <v>2300</v>
      </c>
      <c r="D24" s="903"/>
      <c r="E24" s="576"/>
    </row>
    <row r="25" spans="1:258" x14ac:dyDescent="0.25">
      <c r="A25" s="417" t="s">
        <v>345</v>
      </c>
      <c r="B25" s="416">
        <v>800</v>
      </c>
      <c r="C25" s="17">
        <v>2200</v>
      </c>
      <c r="D25" s="903"/>
      <c r="E25" s="576"/>
    </row>
    <row r="26" spans="1:258" x14ac:dyDescent="0.25">
      <c r="A26" s="417" t="s">
        <v>346</v>
      </c>
      <c r="B26" s="17">
        <v>1200</v>
      </c>
      <c r="C26" s="17">
        <v>2200</v>
      </c>
      <c r="D26" s="903"/>
      <c r="E26" s="576"/>
      <c r="F26" s="1"/>
    </row>
    <row r="27" spans="1:258" x14ac:dyDescent="0.25">
      <c r="A27" s="420" t="s">
        <v>347</v>
      </c>
      <c r="B27" s="17">
        <v>1200</v>
      </c>
      <c r="C27" s="17">
        <v>6400</v>
      </c>
      <c r="D27" s="903"/>
      <c r="E27" s="576"/>
    </row>
    <row r="28" spans="1:258" x14ac:dyDescent="0.25">
      <c r="A28" s="420" t="s">
        <v>348</v>
      </c>
      <c r="B28" s="17">
        <v>2000</v>
      </c>
      <c r="C28" s="17">
        <v>2200</v>
      </c>
      <c r="D28" s="903"/>
      <c r="E28" s="576"/>
    </row>
    <row r="29" spans="1:258" ht="15" customHeight="1" x14ac:dyDescent="0.25">
      <c r="A29" s="303" t="s">
        <v>349</v>
      </c>
      <c r="B29" s="18">
        <v>2000</v>
      </c>
      <c r="C29" s="18">
        <v>6400</v>
      </c>
      <c r="D29" s="904"/>
      <c r="E29" s="4"/>
    </row>
    <row r="30" spans="1:258" ht="31.5" x14ac:dyDescent="0.25">
      <c r="A30" s="236" t="s">
        <v>467</v>
      </c>
      <c r="B30" s="17">
        <f>3500-500</f>
        <v>3000</v>
      </c>
      <c r="C30" s="17">
        <v>2200</v>
      </c>
      <c r="D30" s="903"/>
      <c r="E30" s="576"/>
    </row>
    <row r="31" spans="1:258" ht="31.5" x14ac:dyDescent="0.25">
      <c r="A31" s="236" t="s">
        <v>467</v>
      </c>
      <c r="B31" s="17">
        <v>500</v>
      </c>
      <c r="C31" s="17">
        <v>2300</v>
      </c>
      <c r="D31" s="903"/>
      <c r="E31" s="576"/>
    </row>
    <row r="32" spans="1:258" s="226" customFormat="1" x14ac:dyDescent="0.25">
      <c r="A32" s="236" t="s">
        <v>350</v>
      </c>
      <c r="B32" s="416">
        <v>4850</v>
      </c>
      <c r="C32" s="17">
        <v>6400</v>
      </c>
      <c r="D32" s="576"/>
      <c r="E32" s="57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  <c r="IX32" s="16"/>
    </row>
    <row r="33" spans="1:7" x14ac:dyDescent="0.25">
      <c r="A33" s="47" t="s">
        <v>207</v>
      </c>
      <c r="B33" s="49">
        <f>SUM(B5:B32)</f>
        <v>76604</v>
      </c>
      <c r="C33" s="17"/>
      <c r="D33" s="576"/>
      <c r="E33" s="576"/>
    </row>
    <row r="34" spans="1:7" x14ac:dyDescent="0.25">
      <c r="B34" s="421"/>
      <c r="C34" s="551"/>
      <c r="D34" s="551"/>
      <c r="E34" s="551"/>
      <c r="F34" s="519"/>
      <c r="G34" s="551"/>
    </row>
    <row r="35" spans="1:7" x14ac:dyDescent="0.25">
      <c r="C35" s="422"/>
      <c r="D35" s="422"/>
      <c r="E35" s="422"/>
    </row>
    <row r="36" spans="1:7" x14ac:dyDescent="0.25">
      <c r="A36" s="8" t="s">
        <v>149</v>
      </c>
      <c r="B36" s="1" t="s">
        <v>41</v>
      </c>
      <c r="C36" s="926"/>
    </row>
    <row r="38" spans="1:7" x14ac:dyDescent="0.25">
      <c r="C38" s="421"/>
      <c r="D38" s="421"/>
      <c r="E38" s="421"/>
    </row>
    <row r="39" spans="1:7" x14ac:dyDescent="0.25">
      <c r="C39" s="421"/>
      <c r="D39" s="421"/>
      <c r="E39" s="421"/>
    </row>
    <row r="41" spans="1:7" x14ac:dyDescent="0.25">
      <c r="C41" s="421"/>
      <c r="D41" s="421"/>
      <c r="E41" s="421"/>
    </row>
    <row r="45" spans="1:7" x14ac:dyDescent="0.25">
      <c r="C45" s="422"/>
      <c r="D45" s="422"/>
      <c r="E45" s="422"/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pane xSplit="2" ySplit="7" topLeftCell="C8" activePane="bottomRight" state="frozen"/>
      <selection pane="topRight" activeCell="D1" sqref="D1"/>
      <selection pane="bottomLeft" activeCell="A9" sqref="A9"/>
      <selection pane="bottomRight" activeCell="I28" sqref="I28"/>
    </sheetView>
  </sheetViews>
  <sheetFormatPr defaultColWidth="9.28515625" defaultRowHeight="15" x14ac:dyDescent="0.25"/>
  <cols>
    <col min="1" max="1" width="9.7109375" style="1" customWidth="1"/>
    <col min="2" max="2" width="49.28515625" style="8" customWidth="1"/>
    <col min="3" max="3" width="11.140625" style="1" customWidth="1"/>
    <col min="4" max="4" width="10.28515625" style="1" customWidth="1"/>
    <col min="5" max="5" width="9.42578125" style="1" customWidth="1"/>
    <col min="6" max="16384" width="9.28515625" style="1"/>
  </cols>
  <sheetData>
    <row r="1" spans="1:6" x14ac:dyDescent="0.25">
      <c r="B1" s="179" t="s">
        <v>0</v>
      </c>
      <c r="D1" s="1" t="s">
        <v>572</v>
      </c>
    </row>
    <row r="2" spans="1:6" x14ac:dyDescent="0.25">
      <c r="B2" s="179"/>
    </row>
    <row r="3" spans="1:6" x14ac:dyDescent="0.25">
      <c r="A3" s="3" t="s">
        <v>49</v>
      </c>
    </row>
    <row r="4" spans="1:6" ht="21" customHeight="1" x14ac:dyDescent="0.25">
      <c r="B4" s="127" t="s">
        <v>455</v>
      </c>
    </row>
    <row r="5" spans="1:6" x14ac:dyDescent="0.25">
      <c r="A5" s="3" t="s">
        <v>118</v>
      </c>
      <c r="C5" s="110" t="s">
        <v>223</v>
      </c>
      <c r="D5" s="110" t="s">
        <v>224</v>
      </c>
      <c r="E5" s="126" t="s">
        <v>225</v>
      </c>
      <c r="F5" s="126" t="s">
        <v>250</v>
      </c>
    </row>
    <row r="6" spans="1:6" s="8" customFormat="1" ht="60.75" thickBot="1" x14ac:dyDescent="0.3">
      <c r="B6" s="127"/>
      <c r="C6" s="128" t="s">
        <v>36</v>
      </c>
      <c r="D6" s="128" t="s">
        <v>120</v>
      </c>
      <c r="E6" s="128" t="s">
        <v>68</v>
      </c>
      <c r="F6" s="8" t="s">
        <v>251</v>
      </c>
    </row>
    <row r="7" spans="1:6" ht="31.5" customHeight="1" thickBot="1" x14ac:dyDescent="0.35">
      <c r="A7" s="281" t="s">
        <v>7</v>
      </c>
      <c r="B7" s="282" t="s">
        <v>10</v>
      </c>
      <c r="C7" s="280" t="s">
        <v>456</v>
      </c>
      <c r="D7" s="280" t="s">
        <v>456</v>
      </c>
      <c r="E7" s="280" t="s">
        <v>456</v>
      </c>
      <c r="F7" s="64" t="s">
        <v>456</v>
      </c>
    </row>
    <row r="8" spans="1:6" x14ac:dyDescent="0.25">
      <c r="A8" s="168">
        <v>1100</v>
      </c>
      <c r="B8" s="180" t="s">
        <v>11</v>
      </c>
      <c r="C8" s="137">
        <f>339106+13200</f>
        <v>352306</v>
      </c>
      <c r="D8" s="181">
        <v>49056</v>
      </c>
      <c r="E8" s="182"/>
      <c r="F8" s="182"/>
    </row>
    <row r="9" spans="1:6" ht="29.25" customHeight="1" x14ac:dyDescent="0.25">
      <c r="A9" s="71">
        <v>1200</v>
      </c>
      <c r="B9" s="72" t="s">
        <v>12</v>
      </c>
      <c r="C9" s="423">
        <v>163513</v>
      </c>
      <c r="D9" s="183">
        <v>11572</v>
      </c>
      <c r="E9" s="73"/>
      <c r="F9" s="73"/>
    </row>
    <row r="10" spans="1:6" x14ac:dyDescent="0.25">
      <c r="A10" s="71">
        <v>2000</v>
      </c>
      <c r="B10" s="72" t="s">
        <v>13</v>
      </c>
      <c r="C10" s="115">
        <f>SUM(C11:C15)</f>
        <v>46340</v>
      </c>
      <c r="D10" s="115">
        <f>SUM(D11:D15)</f>
        <v>143502</v>
      </c>
      <c r="E10" s="115">
        <f>SUM(E11:E15)</f>
        <v>13030</v>
      </c>
      <c r="F10" s="115">
        <f>SUM(F11:F15)</f>
        <v>60000</v>
      </c>
    </row>
    <row r="11" spans="1:6" x14ac:dyDescent="0.25">
      <c r="A11" s="71">
        <v>2100</v>
      </c>
      <c r="B11" s="72" t="s">
        <v>14</v>
      </c>
      <c r="C11" s="146"/>
      <c r="D11" s="146"/>
      <c r="E11" s="115"/>
      <c r="F11" s="115"/>
    </row>
    <row r="12" spans="1:6" x14ac:dyDescent="0.25">
      <c r="A12" s="71">
        <v>2200</v>
      </c>
      <c r="B12" s="72" t="s">
        <v>15</v>
      </c>
      <c r="C12" s="146">
        <v>16101</v>
      </c>
      <c r="D12" s="115">
        <f>12264+1100+10000+60138</f>
        <v>83502</v>
      </c>
      <c r="E12" s="115">
        <f>3500+2900</f>
        <v>6400</v>
      </c>
      <c r="F12" s="115">
        <v>60000</v>
      </c>
    </row>
    <row r="13" spans="1:6" ht="30" x14ac:dyDescent="0.25">
      <c r="A13" s="71">
        <v>2300</v>
      </c>
      <c r="B13" s="72" t="s">
        <v>16</v>
      </c>
      <c r="C13" s="146">
        <f>29005-66</f>
        <v>28939</v>
      </c>
      <c r="D13" s="115">
        <v>60000</v>
      </c>
      <c r="E13" s="115">
        <v>6630</v>
      </c>
      <c r="F13" s="115"/>
    </row>
    <row r="14" spans="1:6" x14ac:dyDescent="0.25">
      <c r="A14" s="71">
        <v>2400</v>
      </c>
      <c r="B14" s="82" t="s">
        <v>60</v>
      </c>
      <c r="C14" s="146"/>
      <c r="D14" s="184"/>
      <c r="E14" s="118"/>
      <c r="F14" s="118"/>
    </row>
    <row r="15" spans="1:6" x14ac:dyDescent="0.25">
      <c r="A15" s="71">
        <v>2500</v>
      </c>
      <c r="B15" s="72" t="s">
        <v>17</v>
      </c>
      <c r="C15" s="146">
        <v>1300</v>
      </c>
      <c r="D15" s="146"/>
      <c r="E15" s="115"/>
      <c r="F15" s="115"/>
    </row>
    <row r="16" spans="1:6" x14ac:dyDescent="0.25">
      <c r="A16" s="71">
        <v>4200</v>
      </c>
      <c r="B16" s="72" t="s">
        <v>19</v>
      </c>
      <c r="C16" s="146"/>
      <c r="D16" s="146"/>
      <c r="E16" s="115"/>
      <c r="F16" s="115"/>
    </row>
    <row r="17" spans="1:6" x14ac:dyDescent="0.25">
      <c r="A17" s="71">
        <v>4300</v>
      </c>
      <c r="B17" s="72" t="s">
        <v>20</v>
      </c>
      <c r="C17" s="146"/>
      <c r="D17" s="146"/>
      <c r="E17" s="115"/>
      <c r="F17" s="115"/>
    </row>
    <row r="18" spans="1:6" x14ac:dyDescent="0.25">
      <c r="A18" s="71">
        <v>5100</v>
      </c>
      <c r="B18" s="72" t="s">
        <v>22</v>
      </c>
      <c r="C18" s="115">
        <v>66</v>
      </c>
      <c r="D18" s="142"/>
      <c r="E18" s="115"/>
      <c r="F18" s="115"/>
    </row>
    <row r="19" spans="1:6" x14ac:dyDescent="0.25">
      <c r="A19" s="71">
        <v>5200</v>
      </c>
      <c r="B19" s="72" t="s">
        <v>23</v>
      </c>
      <c r="C19" s="115">
        <f>30650-30000</f>
        <v>650</v>
      </c>
      <c r="D19" s="149"/>
      <c r="E19" s="148">
        <v>20000</v>
      </c>
      <c r="F19" s="148"/>
    </row>
    <row r="20" spans="1:6" x14ac:dyDescent="0.25">
      <c r="A20" s="71">
        <v>6000</v>
      </c>
      <c r="B20" s="72" t="s">
        <v>58</v>
      </c>
      <c r="C20" s="146">
        <f>SUM(C21:C22)</f>
        <v>0</v>
      </c>
      <c r="D20" s="146">
        <f>SUM(D21:D22)</f>
        <v>0</v>
      </c>
      <c r="E20" s="146">
        <f>SUM(E21:E22)</f>
        <v>0</v>
      </c>
      <c r="F20" s="146">
        <f>SUM(F21:F22)</f>
        <v>0</v>
      </c>
    </row>
    <row r="21" spans="1:6" s="5" customFormat="1" x14ac:dyDescent="0.25">
      <c r="A21" s="71">
        <v>6200</v>
      </c>
      <c r="B21" s="72" t="s">
        <v>24</v>
      </c>
      <c r="C21" s="146"/>
      <c r="D21" s="146"/>
      <c r="E21" s="115"/>
      <c r="F21" s="115"/>
    </row>
    <row r="22" spans="1:6" x14ac:dyDescent="0.25">
      <c r="A22" s="71">
        <v>6300</v>
      </c>
      <c r="B22" s="72" t="s">
        <v>59</v>
      </c>
      <c r="C22" s="150"/>
      <c r="D22" s="150"/>
      <c r="E22" s="146"/>
      <c r="F22" s="146"/>
    </row>
    <row r="23" spans="1:6" ht="15.75" thickBot="1" x14ac:dyDescent="0.3">
      <c r="A23" s="71">
        <v>7200</v>
      </c>
      <c r="B23" s="72" t="s">
        <v>25</v>
      </c>
      <c r="C23" s="146"/>
      <c r="D23" s="146"/>
      <c r="E23" s="146"/>
      <c r="F23" s="146"/>
    </row>
    <row r="24" spans="1:6" ht="15.75" thickBot="1" x14ac:dyDescent="0.3">
      <c r="A24" s="62"/>
      <c r="B24" s="185" t="s">
        <v>26</v>
      </c>
      <c r="C24" s="103">
        <f>SUM(C8+C9+C10+C16+C17+C18+C19+C20+C23)</f>
        <v>562875</v>
      </c>
      <c r="D24" s="216">
        <f>SUM(D8+D9+D10+D16+D17+D18+D19+D20+D23)</f>
        <v>204130</v>
      </c>
      <c r="E24" s="121">
        <f>SUM(E8+E9+E10+E16+E17+E18+E19+E20+E23)</f>
        <v>33030</v>
      </c>
      <c r="F24" s="121">
        <f>SUM(F8+F9+F10+F16+F17+F18+F19+F20+F23)</f>
        <v>60000</v>
      </c>
    </row>
    <row r="25" spans="1:6" x14ac:dyDescent="0.25">
      <c r="B25" s="157"/>
      <c r="E25" s="3"/>
    </row>
    <row r="26" spans="1:6" x14ac:dyDescent="0.25">
      <c r="B26" s="8" t="s">
        <v>149</v>
      </c>
      <c r="C26" s="1" t="s">
        <v>41</v>
      </c>
    </row>
    <row r="27" spans="1:6" x14ac:dyDescent="0.25">
      <c r="B27" s="179"/>
    </row>
  </sheetData>
  <phoneticPr fontId="0" type="noConversion"/>
  <pageMargins left="0.74803149606299213" right="0.47244094488188981" top="0.39370078740157483" bottom="0.39370078740157483" header="0.31496062992125984" footer="0.51181102362204722"/>
  <pageSetup paperSize="9" scale="85" firstPageNumber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workbookViewId="0">
      <pane xSplit="2" ySplit="7" topLeftCell="C8" activePane="bottomRight" state="frozen"/>
      <selection pane="topRight" activeCell="D1" sqref="D1"/>
      <selection pane="bottomLeft" activeCell="A9" sqref="A9"/>
      <selection pane="bottomRight" activeCell="G8" sqref="G8"/>
    </sheetView>
  </sheetViews>
  <sheetFormatPr defaultColWidth="9.28515625" defaultRowHeight="15" x14ac:dyDescent="0.25"/>
  <cols>
    <col min="1" max="1" width="7.140625" style="1" customWidth="1"/>
    <col min="2" max="2" width="46.85546875" style="1" customWidth="1"/>
    <col min="3" max="3" width="9.140625" style="1" customWidth="1"/>
    <col min="4" max="4" width="10.140625" style="1" customWidth="1"/>
    <col min="5" max="5" width="9.140625" style="1" customWidth="1"/>
    <col min="6" max="6" width="9.42578125" style="1" bestFit="1" customWidth="1"/>
    <col min="7" max="7" width="10.7109375" style="1" customWidth="1"/>
    <col min="8" max="16384" width="9.28515625" style="1"/>
  </cols>
  <sheetData>
    <row r="1" spans="1:7" x14ac:dyDescent="0.25">
      <c r="B1" s="2" t="s">
        <v>0</v>
      </c>
      <c r="E1" s="1" t="s">
        <v>572</v>
      </c>
    </row>
    <row r="3" spans="1:7" x14ac:dyDescent="0.25">
      <c r="A3" s="186" t="s">
        <v>50</v>
      </c>
      <c r="B3" s="186"/>
      <c r="C3" s="186"/>
    </row>
    <row r="4" spans="1:7" x14ac:dyDescent="0.25">
      <c r="B4" s="3" t="s">
        <v>455</v>
      </c>
    </row>
    <row r="5" spans="1:7" ht="31.5" customHeight="1" x14ac:dyDescent="0.25">
      <c r="A5" s="3" t="s">
        <v>118</v>
      </c>
      <c r="C5" s="110" t="s">
        <v>81</v>
      </c>
      <c r="D5" s="110" t="s">
        <v>82</v>
      </c>
      <c r="E5" s="110" t="s">
        <v>201</v>
      </c>
      <c r="F5" s="126" t="s">
        <v>226</v>
      </c>
      <c r="G5" s="58">
        <v>10.4001</v>
      </c>
    </row>
    <row r="6" spans="1:7" ht="75.75" thickBot="1" x14ac:dyDescent="0.3">
      <c r="A6" s="4"/>
      <c r="B6" s="4"/>
      <c r="C6" s="129" t="s">
        <v>37</v>
      </c>
      <c r="D6" s="129" t="s">
        <v>38</v>
      </c>
      <c r="E6" s="129" t="s">
        <v>202</v>
      </c>
      <c r="F6" s="112" t="s">
        <v>71</v>
      </c>
      <c r="G6" s="129" t="s">
        <v>121</v>
      </c>
    </row>
    <row r="7" spans="1:7" ht="38.25" customHeight="1" thickBot="1" x14ac:dyDescent="0.35">
      <c r="A7" s="187" t="s">
        <v>7</v>
      </c>
      <c r="B7" s="63" t="s">
        <v>10</v>
      </c>
      <c r="C7" s="188" t="s">
        <v>456</v>
      </c>
      <c r="D7" s="188" t="s">
        <v>456</v>
      </c>
      <c r="E7" s="188" t="s">
        <v>456</v>
      </c>
      <c r="F7" s="188" t="s">
        <v>456</v>
      </c>
      <c r="G7" s="64" t="s">
        <v>456</v>
      </c>
    </row>
    <row r="8" spans="1:7" x14ac:dyDescent="0.25">
      <c r="A8" s="160">
        <v>1100</v>
      </c>
      <c r="B8" s="161" t="s">
        <v>11</v>
      </c>
      <c r="C8" s="137">
        <v>666603</v>
      </c>
      <c r="D8" s="189"/>
      <c r="E8" s="189">
        <v>206940</v>
      </c>
      <c r="F8" s="189">
        <f>3600-465</f>
        <v>3135</v>
      </c>
      <c r="G8" s="182">
        <f>116804+76690</f>
        <v>193494</v>
      </c>
    </row>
    <row r="9" spans="1:7" ht="26.25" customHeight="1" x14ac:dyDescent="0.25">
      <c r="A9" s="162">
        <v>1200</v>
      </c>
      <c r="B9" s="72" t="s">
        <v>12</v>
      </c>
      <c r="C9" s="73">
        <v>197490</v>
      </c>
      <c r="D9" s="115"/>
      <c r="E9" s="73">
        <v>48335</v>
      </c>
      <c r="F9" s="73">
        <f>850-110</f>
        <v>740</v>
      </c>
      <c r="G9" s="73">
        <f>36271+24196</f>
        <v>60467</v>
      </c>
    </row>
    <row r="10" spans="1:7" x14ac:dyDescent="0.25">
      <c r="A10" s="162">
        <v>2000</v>
      </c>
      <c r="B10" s="78" t="s">
        <v>13</v>
      </c>
      <c r="C10" s="115">
        <f>SUM(C11:C15)</f>
        <v>152539</v>
      </c>
      <c r="D10" s="115"/>
      <c r="E10" s="115">
        <f>SUM(E11:E15)</f>
        <v>0</v>
      </c>
      <c r="F10" s="115"/>
      <c r="G10" s="115">
        <f>SUM(G11:G15)</f>
        <v>10979</v>
      </c>
    </row>
    <row r="11" spans="1:7" x14ac:dyDescent="0.25">
      <c r="A11" s="162">
        <v>2100</v>
      </c>
      <c r="B11" s="78" t="s">
        <v>14</v>
      </c>
      <c r="C11" s="115">
        <v>4038</v>
      </c>
      <c r="D11" s="115"/>
      <c r="E11" s="115"/>
      <c r="F11" s="115"/>
      <c r="G11" s="115">
        <v>1050</v>
      </c>
    </row>
    <row r="12" spans="1:7" x14ac:dyDescent="0.25">
      <c r="A12" s="162">
        <v>2200</v>
      </c>
      <c r="B12" s="78" t="s">
        <v>15</v>
      </c>
      <c r="C12" s="142">
        <f>80412+6049</f>
        <v>86461</v>
      </c>
      <c r="D12" s="115"/>
      <c r="E12" s="115"/>
      <c r="F12" s="115"/>
      <c r="G12" s="115">
        <v>3300</v>
      </c>
    </row>
    <row r="13" spans="1:7" ht="30" x14ac:dyDescent="0.25">
      <c r="A13" s="162">
        <v>2300</v>
      </c>
      <c r="B13" s="72" t="s">
        <v>16</v>
      </c>
      <c r="C13" s="142">
        <f>62186-146</f>
        <v>62040</v>
      </c>
      <c r="D13" s="115"/>
      <c r="E13" s="115"/>
      <c r="F13" s="115"/>
      <c r="G13" s="115">
        <f>6955-326</f>
        <v>6629</v>
      </c>
    </row>
    <row r="14" spans="1:7" x14ac:dyDescent="0.25">
      <c r="A14" s="162">
        <v>2400</v>
      </c>
      <c r="B14" s="82" t="s">
        <v>60</v>
      </c>
      <c r="C14" s="142"/>
      <c r="D14" s="115"/>
      <c r="E14" s="115"/>
      <c r="F14" s="115"/>
      <c r="G14" s="118"/>
    </row>
    <row r="15" spans="1:7" x14ac:dyDescent="0.25">
      <c r="A15" s="162">
        <v>2500</v>
      </c>
      <c r="B15" s="78" t="s">
        <v>17</v>
      </c>
      <c r="C15" s="142"/>
      <c r="D15" s="115"/>
      <c r="E15" s="115"/>
      <c r="F15" s="115"/>
      <c r="G15" s="115"/>
    </row>
    <row r="16" spans="1:7" x14ac:dyDescent="0.25">
      <c r="A16" s="162">
        <v>3200</v>
      </c>
      <c r="B16" s="78" t="s">
        <v>18</v>
      </c>
      <c r="C16" s="142"/>
      <c r="D16" s="115"/>
      <c r="E16" s="115"/>
      <c r="F16" s="115"/>
      <c r="G16" s="115"/>
    </row>
    <row r="17" spans="1:7" x14ac:dyDescent="0.25">
      <c r="A17" s="162">
        <v>4200</v>
      </c>
      <c r="B17" s="78" t="s">
        <v>19</v>
      </c>
      <c r="C17" s="142"/>
      <c r="D17" s="115"/>
      <c r="E17" s="115"/>
      <c r="F17" s="115"/>
      <c r="G17" s="115"/>
    </row>
    <row r="18" spans="1:7" x14ac:dyDescent="0.25">
      <c r="A18" s="162">
        <v>4300</v>
      </c>
      <c r="B18" s="78" t="s">
        <v>20</v>
      </c>
      <c r="C18" s="142"/>
      <c r="D18" s="115"/>
      <c r="E18" s="115"/>
      <c r="F18" s="115"/>
      <c r="G18" s="115"/>
    </row>
    <row r="19" spans="1:7" x14ac:dyDescent="0.25">
      <c r="A19" s="162">
        <v>5100</v>
      </c>
      <c r="B19" s="78" t="s">
        <v>22</v>
      </c>
      <c r="C19" s="142">
        <v>1560</v>
      </c>
      <c r="D19" s="115"/>
      <c r="E19" s="115"/>
      <c r="F19" s="115"/>
      <c r="G19" s="115">
        <v>160</v>
      </c>
    </row>
    <row r="20" spans="1:7" x14ac:dyDescent="0.25">
      <c r="A20" s="162">
        <v>5200</v>
      </c>
      <c r="B20" s="78" t="s">
        <v>23</v>
      </c>
      <c r="C20" s="142">
        <f>5740+146</f>
        <v>5886</v>
      </c>
      <c r="D20" s="115"/>
      <c r="E20" s="115"/>
      <c r="F20" s="115"/>
      <c r="G20" s="115">
        <v>1800</v>
      </c>
    </row>
    <row r="21" spans="1:7" s="6" customFormat="1" x14ac:dyDescent="0.25">
      <c r="A21" s="162">
        <v>6000</v>
      </c>
      <c r="B21" s="78" t="s">
        <v>58</v>
      </c>
      <c r="C21" s="113">
        <f t="shared" ref="C21:F21" si="0">SUM(C22:C24)</f>
        <v>0</v>
      </c>
      <c r="D21" s="113">
        <f t="shared" si="0"/>
        <v>1310314</v>
      </c>
      <c r="E21" s="113">
        <f t="shared" si="0"/>
        <v>9372</v>
      </c>
      <c r="F21" s="113">
        <f t="shared" si="0"/>
        <v>26290</v>
      </c>
      <c r="G21" s="113">
        <f>SUM(G22:G25)</f>
        <v>0</v>
      </c>
    </row>
    <row r="22" spans="1:7" s="6" customFormat="1" x14ac:dyDescent="0.25">
      <c r="A22" s="162">
        <v>6200</v>
      </c>
      <c r="B22" s="78" t="s">
        <v>24</v>
      </c>
      <c r="C22" s="113"/>
      <c r="D22" s="115">
        <v>426093</v>
      </c>
      <c r="E22" s="113"/>
      <c r="F22" s="113">
        <f>9600+16690</f>
        <v>26290</v>
      </c>
      <c r="G22" s="113"/>
    </row>
    <row r="23" spans="1:7" s="6" customFormat="1" x14ac:dyDescent="0.25">
      <c r="A23" s="162">
        <v>6300</v>
      </c>
      <c r="B23" s="78" t="s">
        <v>59</v>
      </c>
      <c r="C23" s="190"/>
      <c r="D23" s="115">
        <f>240112+56000</f>
        <v>296112</v>
      </c>
      <c r="E23" s="115"/>
      <c r="F23" s="190"/>
      <c r="G23" s="190"/>
    </row>
    <row r="24" spans="1:7" x14ac:dyDescent="0.25">
      <c r="A24" s="162">
        <v>6400</v>
      </c>
      <c r="B24" s="78" t="s">
        <v>77</v>
      </c>
      <c r="C24" s="191"/>
      <c r="D24" s="115">
        <f>653109-65000</f>
        <v>588109</v>
      </c>
      <c r="E24" s="115">
        <v>9372</v>
      </c>
      <c r="F24" s="192"/>
      <c r="G24" s="192"/>
    </row>
    <row r="25" spans="1:7" ht="30" x14ac:dyDescent="0.25">
      <c r="A25" s="162">
        <v>6500</v>
      </c>
      <c r="B25" s="482" t="s">
        <v>444</v>
      </c>
      <c r="C25" s="191"/>
      <c r="D25" s="115"/>
      <c r="E25" s="115"/>
      <c r="F25" s="214"/>
      <c r="G25" s="214"/>
    </row>
    <row r="26" spans="1:7" ht="15.75" thickBot="1" x14ac:dyDescent="0.3">
      <c r="A26" s="162">
        <v>7200</v>
      </c>
      <c r="B26" s="78" t="s">
        <v>25</v>
      </c>
      <c r="C26" s="144"/>
      <c r="D26" s="115"/>
      <c r="E26" s="213"/>
      <c r="F26" s="193"/>
      <c r="G26" s="194"/>
    </row>
    <row r="27" spans="1:7" ht="15.75" thickBot="1" x14ac:dyDescent="0.3">
      <c r="A27" s="164"/>
      <c r="B27" s="102" t="s">
        <v>26</v>
      </c>
      <c r="C27" s="216">
        <f>SUM(C8+C9+C10+C16+C17+C18+C19+C20+C21+C26)</f>
        <v>1024078</v>
      </c>
      <c r="D27" s="835">
        <f>SUM(D8+D9+D10+D17+D18+D19+D20+D21+D26)</f>
        <v>1310314</v>
      </c>
      <c r="E27" s="121">
        <f>SUM(E8+E9+E10+E17+E18+E19+E20+E21+E26)</f>
        <v>264647</v>
      </c>
      <c r="F27" s="216">
        <f>SUM(F8+F9+F10+F17+F18+F19+F20+F21+F26)</f>
        <v>30165</v>
      </c>
      <c r="G27" s="103">
        <f>SUM(G8+G9+G10+G17+G18+G19+G20+G21+G26)</f>
        <v>266900</v>
      </c>
    </row>
    <row r="28" spans="1:7" x14ac:dyDescent="0.25">
      <c r="B28" s="157"/>
      <c r="C28" s="15"/>
      <c r="D28" s="15"/>
      <c r="E28" s="13"/>
      <c r="F28" s="108"/>
      <c r="G28" s="108"/>
    </row>
    <row r="29" spans="1:7" x14ac:dyDescent="0.25">
      <c r="B29" s="4"/>
      <c r="D29" s="8"/>
      <c r="E29" s="8"/>
      <c r="F29" s="195" t="s">
        <v>473</v>
      </c>
    </row>
    <row r="30" spans="1:7" x14ac:dyDescent="0.25">
      <c r="B30" s="424" t="s">
        <v>351</v>
      </c>
      <c r="D30" s="156"/>
      <c r="E30" s="156"/>
      <c r="F30" s="195" t="s">
        <v>126</v>
      </c>
      <c r="G30" s="6"/>
    </row>
    <row r="31" spans="1:7" x14ac:dyDescent="0.25">
      <c r="B31" s="425" t="s">
        <v>254</v>
      </c>
      <c r="C31" s="403"/>
      <c r="D31" s="108"/>
      <c r="E31" s="108"/>
      <c r="F31" s="390">
        <v>800</v>
      </c>
    </row>
    <row r="32" spans="1:7" ht="18.75" customHeight="1" x14ac:dyDescent="0.25">
      <c r="B32" s="425" t="s">
        <v>260</v>
      </c>
      <c r="C32" s="403"/>
      <c r="D32" s="13"/>
      <c r="E32" s="13"/>
      <c r="F32" s="390">
        <v>38311</v>
      </c>
    </row>
    <row r="33" spans="1:7" x14ac:dyDescent="0.25">
      <c r="B33" s="1023" t="s">
        <v>255</v>
      </c>
      <c r="C33" s="1023"/>
      <c r="D33" s="108"/>
      <c r="E33" s="108"/>
      <c r="F33" s="196">
        <v>220</v>
      </c>
    </row>
    <row r="34" spans="1:7" x14ac:dyDescent="0.25">
      <c r="B34" s="55" t="s">
        <v>256</v>
      </c>
      <c r="C34" s="404"/>
      <c r="D34" s="3"/>
      <c r="E34" s="3"/>
      <c r="F34" s="269">
        <v>150</v>
      </c>
    </row>
    <row r="35" spans="1:7" x14ac:dyDescent="0.25">
      <c r="B35" s="55" t="s">
        <v>261</v>
      </c>
      <c r="C35" s="404"/>
      <c r="D35" s="197"/>
      <c r="E35" s="197"/>
      <c r="F35" s="6">
        <v>150</v>
      </c>
    </row>
    <row r="36" spans="1:7" x14ac:dyDescent="0.25">
      <c r="B36" s="55" t="s">
        <v>262</v>
      </c>
      <c r="C36" s="404"/>
      <c r="D36" s="197"/>
      <c r="E36" s="197"/>
      <c r="F36" s="6">
        <v>120</v>
      </c>
    </row>
    <row r="37" spans="1:7" x14ac:dyDescent="0.25">
      <c r="B37" s="55" t="s">
        <v>257</v>
      </c>
      <c r="C37" s="404"/>
      <c r="F37" s="6">
        <v>150</v>
      </c>
      <c r="G37" s="196"/>
    </row>
    <row r="38" spans="1:7" x14ac:dyDescent="0.25">
      <c r="B38" s="426" t="s">
        <v>150</v>
      </c>
      <c r="C38" s="405"/>
      <c r="D38" s="198"/>
      <c r="E38" s="198"/>
      <c r="F38" s="270">
        <f>SUM(F34:F37)</f>
        <v>570</v>
      </c>
      <c r="G38" s="3"/>
    </row>
    <row r="39" spans="1:7" ht="30" x14ac:dyDescent="0.25">
      <c r="B39" s="199" t="s">
        <v>352</v>
      </c>
      <c r="C39" s="404"/>
      <c r="F39" s="6">
        <v>500</v>
      </c>
    </row>
    <row r="40" spans="1:7" x14ac:dyDescent="0.25">
      <c r="A40" s="14"/>
      <c r="B40" s="55" t="s">
        <v>353</v>
      </c>
      <c r="C40" s="405"/>
      <c r="D40" s="3"/>
      <c r="E40" s="3"/>
      <c r="F40" s="6">
        <v>850</v>
      </c>
      <c r="G40" s="3"/>
    </row>
    <row r="41" spans="1:7" ht="30" x14ac:dyDescent="0.25">
      <c r="A41" s="14"/>
      <c r="B41" s="427" t="s">
        <v>330</v>
      </c>
      <c r="C41" s="405"/>
      <c r="D41" s="3"/>
      <c r="E41" s="3"/>
      <c r="F41" s="196">
        <f>SUM(F39:F40)</f>
        <v>1350</v>
      </c>
      <c r="G41" s="3"/>
    </row>
    <row r="42" spans="1:7" ht="28.5" customHeight="1" x14ac:dyDescent="0.25">
      <c r="A42" s="14"/>
      <c r="B42" s="199" t="s">
        <v>258</v>
      </c>
      <c r="C42" s="405"/>
      <c r="D42" s="3"/>
      <c r="E42" s="3"/>
      <c r="F42" s="6">
        <v>400</v>
      </c>
      <c r="G42" s="3"/>
    </row>
    <row r="43" spans="1:7" ht="28.5" customHeight="1" x14ac:dyDescent="0.25">
      <c r="A43" s="14"/>
      <c r="B43" s="199" t="s">
        <v>354</v>
      </c>
      <c r="C43" s="405"/>
      <c r="D43" s="3"/>
      <c r="E43" s="3"/>
      <c r="F43" s="6">
        <v>90</v>
      </c>
      <c r="G43" s="3"/>
    </row>
    <row r="44" spans="1:7" x14ac:dyDescent="0.25">
      <c r="A44" s="14"/>
      <c r="B44" s="427" t="s">
        <v>220</v>
      </c>
      <c r="C44" s="405"/>
      <c r="D44" s="3"/>
      <c r="E44" s="3"/>
      <c r="F44" s="196">
        <f>SUM(F42:F43)</f>
        <v>490</v>
      </c>
      <c r="G44" s="3"/>
    </row>
    <row r="45" spans="1:7" x14ac:dyDescent="0.25">
      <c r="B45" s="425" t="s">
        <v>355</v>
      </c>
      <c r="C45" s="396"/>
      <c r="F45" s="3">
        <v>500</v>
      </c>
    </row>
    <row r="46" spans="1:7" x14ac:dyDescent="0.25">
      <c r="B46" s="483" t="s">
        <v>445</v>
      </c>
      <c r="C46" s="396"/>
      <c r="F46" s="3">
        <v>3000</v>
      </c>
    </row>
    <row r="47" spans="1:7" x14ac:dyDescent="0.25">
      <c r="B47" s="109" t="s">
        <v>259</v>
      </c>
      <c r="C47" s="396"/>
      <c r="F47" s="178">
        <f>F31+F32+F33+F38+F41+F44+F45+F46</f>
        <v>45241</v>
      </c>
    </row>
    <row r="49" spans="2:4" x14ac:dyDescent="0.25">
      <c r="B49" s="8" t="s">
        <v>149</v>
      </c>
      <c r="C49" s="8"/>
      <c r="D49" s="1" t="s">
        <v>41</v>
      </c>
    </row>
    <row r="50" spans="2:4" x14ac:dyDescent="0.25">
      <c r="B50" s="2"/>
    </row>
  </sheetData>
  <mergeCells count="1">
    <mergeCell ref="B33:C33"/>
  </mergeCells>
  <phoneticPr fontId="0" type="noConversion"/>
  <pageMargins left="0.74791666666666667" right="0.74791666666666667" top="0.59027777777777779" bottom="0.59027777777777779" header="0.51180555555555562" footer="0.51180555555555562"/>
  <pageSetup paperSize="9" scale="80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36"/>
  <sheetViews>
    <sheetView zoomScale="91" zoomScaleNormal="91" workbookViewId="0">
      <selection activeCell="E3" sqref="E3"/>
    </sheetView>
  </sheetViews>
  <sheetFormatPr defaultRowHeight="12.75" x14ac:dyDescent="0.2"/>
  <cols>
    <col min="1" max="2" width="6.5703125" style="786" customWidth="1"/>
    <col min="3" max="3" width="37.42578125" style="786" customWidth="1"/>
    <col min="4" max="4" width="10.7109375" style="786" customWidth="1"/>
    <col min="5" max="5" width="13.7109375" style="786" customWidth="1"/>
    <col min="6" max="6" width="10.28515625" style="786" customWidth="1"/>
    <col min="7" max="7" width="10" style="786" customWidth="1"/>
    <col min="8" max="8" width="10.140625" style="786" bestFit="1" customWidth="1"/>
    <col min="9" max="9" width="13.140625" style="786" customWidth="1"/>
    <col min="10" max="10" width="11.140625" style="786" customWidth="1"/>
    <col min="11" max="11" width="12.85546875" style="786" customWidth="1"/>
    <col min="12" max="12" width="10.85546875" style="786" customWidth="1"/>
    <col min="13" max="13" width="12.42578125" style="786" customWidth="1"/>
    <col min="14" max="14" width="9.140625" style="786"/>
    <col min="15" max="15" width="13.85546875" style="786" customWidth="1"/>
    <col min="16" max="16" width="10" style="786" customWidth="1"/>
    <col min="17" max="17" width="12.42578125" style="786" customWidth="1"/>
    <col min="18" max="18" width="10" style="786" customWidth="1"/>
    <col min="19" max="19" width="12.5703125" style="786" customWidth="1"/>
    <col min="20" max="21" width="12.28515625" style="786" customWidth="1"/>
    <col min="22" max="22" width="11.85546875" style="786" customWidth="1"/>
    <col min="23" max="23" width="11.7109375" style="786" customWidth="1"/>
    <col min="24" max="29" width="10" style="786" customWidth="1"/>
    <col min="30" max="30" width="11" style="786" customWidth="1"/>
    <col min="31" max="31" width="11.28515625" style="786" customWidth="1"/>
    <col min="32" max="32" width="11.42578125" style="786" customWidth="1"/>
    <col min="33" max="33" width="12.28515625" style="786" customWidth="1"/>
    <col min="34" max="35" width="11.5703125" style="786" customWidth="1"/>
    <col min="36" max="36" width="10" style="786" customWidth="1"/>
    <col min="37" max="37" width="11.5703125" style="786" customWidth="1"/>
    <col min="38" max="38" width="10.140625" style="786" customWidth="1"/>
    <col min="39" max="39" width="10.85546875" style="786" customWidth="1"/>
    <col min="40" max="41" width="13.5703125" style="786" customWidth="1"/>
    <col min="42" max="43" width="9.5703125" style="786" customWidth="1"/>
    <col min="44" max="44" width="10" style="786" customWidth="1"/>
    <col min="45" max="47" width="12.28515625" style="786" customWidth="1"/>
    <col min="48" max="48" width="10.140625" style="786" customWidth="1"/>
    <col min="49" max="16384" width="9.140625" style="786"/>
  </cols>
  <sheetData>
    <row r="1" spans="1:51" s="779" customFormat="1" ht="15" x14ac:dyDescent="0.25">
      <c r="A1" s="364"/>
      <c r="B1" s="364"/>
      <c r="C1" s="921" t="s">
        <v>572</v>
      </c>
      <c r="D1" s="364"/>
      <c r="E1" s="776"/>
      <c r="F1" s="777"/>
      <c r="G1" s="366"/>
      <c r="H1" s="777"/>
      <c r="I1" s="777"/>
      <c r="J1" s="777"/>
      <c r="K1" s="777"/>
      <c r="L1" s="777"/>
      <c r="M1" s="366"/>
      <c r="N1" s="366"/>
      <c r="P1" s="778"/>
      <c r="Q1" s="778"/>
      <c r="R1" s="778"/>
      <c r="S1" s="778"/>
      <c r="T1" s="778"/>
      <c r="U1" s="778"/>
      <c r="V1" s="778"/>
      <c r="W1" s="778"/>
      <c r="Y1" s="778"/>
      <c r="Z1" s="778"/>
      <c r="AA1" s="778"/>
      <c r="AB1" s="778"/>
      <c r="AC1" s="778"/>
      <c r="AD1" s="778"/>
      <c r="AG1" s="364"/>
      <c r="AH1" s="364"/>
      <c r="AI1" s="364"/>
      <c r="AJ1" s="778"/>
      <c r="AK1" s="778"/>
      <c r="AL1" s="364"/>
      <c r="AM1" s="364"/>
      <c r="AN1" s="364"/>
      <c r="AO1" s="364"/>
      <c r="AP1" s="366"/>
      <c r="AQ1" s="366"/>
      <c r="AS1" s="364"/>
      <c r="AU1" s="364"/>
      <c r="AV1" s="364"/>
      <c r="AW1" s="364"/>
    </row>
    <row r="2" spans="1:51" s="781" customFormat="1" ht="15" x14ac:dyDescent="0.25">
      <c r="A2" s="368"/>
      <c r="B2" s="368"/>
      <c r="C2" s="780" t="s">
        <v>0</v>
      </c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W2" s="368"/>
      <c r="X2" s="368"/>
      <c r="Y2" s="368"/>
      <c r="Z2" s="368"/>
      <c r="AA2" s="368"/>
      <c r="AB2" s="368"/>
      <c r="AC2" s="368"/>
      <c r="AD2" s="368"/>
      <c r="AE2" s="368"/>
      <c r="AF2" s="368"/>
      <c r="AG2" s="368"/>
      <c r="AH2" s="368"/>
      <c r="AI2" s="368"/>
      <c r="AJ2" s="368"/>
      <c r="AK2" s="368"/>
      <c r="AL2" s="368"/>
      <c r="AM2" s="368"/>
      <c r="AN2" s="368"/>
      <c r="AO2" s="368"/>
      <c r="AP2" s="368"/>
      <c r="AQ2" s="368"/>
      <c r="AR2" s="368"/>
      <c r="AS2" s="368"/>
      <c r="AT2" s="368"/>
      <c r="AU2" s="368"/>
      <c r="AV2" s="368"/>
      <c r="AW2" s="368"/>
      <c r="AX2" s="368"/>
      <c r="AY2" s="368"/>
    </row>
    <row r="3" spans="1:51" ht="15" x14ac:dyDescent="0.25">
      <c r="A3" s="588" t="s">
        <v>279</v>
      </c>
      <c r="B3" s="588"/>
      <c r="C3" s="588"/>
      <c r="D3" s="588"/>
      <c r="E3" s="782"/>
      <c r="F3" s="782"/>
      <c r="G3" s="331"/>
      <c r="H3" s="783"/>
      <c r="I3" s="783"/>
      <c r="J3" s="783"/>
      <c r="K3" s="783"/>
      <c r="L3" s="331"/>
      <c r="M3" s="331"/>
      <c r="N3" s="331"/>
      <c r="O3" s="783"/>
      <c r="P3" s="783"/>
      <c r="Q3" s="783"/>
      <c r="R3" s="783"/>
      <c r="S3" s="783"/>
      <c r="T3" s="783"/>
      <c r="U3" s="783"/>
      <c r="V3" s="783"/>
      <c r="W3" s="783"/>
      <c r="X3" s="783"/>
      <c r="Y3" s="783"/>
      <c r="Z3" s="783"/>
      <c r="AA3" s="783"/>
      <c r="AB3" s="783"/>
      <c r="AC3" s="783"/>
      <c r="AD3" s="783"/>
      <c r="AE3" s="783"/>
      <c r="AF3" s="368"/>
      <c r="AG3" s="368"/>
      <c r="AH3" s="331"/>
      <c r="AI3" s="331"/>
      <c r="AJ3" s="783"/>
      <c r="AK3" s="783"/>
      <c r="AL3" s="783"/>
      <c r="AM3" s="783"/>
      <c r="AN3" s="783"/>
      <c r="AO3" s="783"/>
      <c r="AP3" s="784"/>
      <c r="AQ3" s="784"/>
      <c r="AR3" s="783"/>
      <c r="AS3" s="331"/>
      <c r="AT3" s="331"/>
      <c r="AU3" s="331"/>
      <c r="AV3" s="785"/>
    </row>
    <row r="4" spans="1:51" s="791" customFormat="1" ht="15.75" thickBot="1" x14ac:dyDescent="0.3">
      <c r="A4" s="787" t="s">
        <v>526</v>
      </c>
      <c r="B4" s="788"/>
      <c r="C4" s="789"/>
      <c r="D4" s="789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  <c r="AC4" s="332"/>
      <c r="AD4" s="332"/>
      <c r="AE4" s="332"/>
      <c r="AF4" s="790"/>
      <c r="AG4" s="368"/>
      <c r="AH4" s="332"/>
      <c r="AI4" s="332"/>
      <c r="AJ4" s="332"/>
      <c r="AK4" s="332"/>
      <c r="AL4" s="332"/>
      <c r="AM4" s="332"/>
      <c r="AN4" s="332"/>
      <c r="AO4" s="332"/>
      <c r="AP4" s="332"/>
      <c r="AQ4" s="332"/>
      <c r="AR4" s="332"/>
      <c r="AS4" s="332"/>
      <c r="AT4" s="332"/>
      <c r="AU4" s="332"/>
      <c r="AV4" s="332"/>
    </row>
    <row r="5" spans="1:51" ht="15.75" x14ac:dyDescent="0.25">
      <c r="A5" s="1024" t="s">
        <v>187</v>
      </c>
      <c r="B5" s="1025"/>
      <c r="C5" s="1025"/>
      <c r="D5" s="792"/>
      <c r="E5" s="334" t="s">
        <v>233</v>
      </c>
      <c r="F5" s="335" t="s">
        <v>234</v>
      </c>
      <c r="G5" s="334" t="s">
        <v>252</v>
      </c>
      <c r="H5" s="334" t="s">
        <v>410</v>
      </c>
      <c r="I5" s="334" t="s">
        <v>281</v>
      </c>
      <c r="J5" s="334" t="s">
        <v>398</v>
      </c>
      <c r="K5" s="334" t="s">
        <v>400</v>
      </c>
      <c r="L5" s="336" t="s">
        <v>411</v>
      </c>
      <c r="M5" s="337" t="s">
        <v>412</v>
      </c>
      <c r="N5" s="337" t="s">
        <v>413</v>
      </c>
      <c r="O5" s="337" t="s">
        <v>414</v>
      </c>
      <c r="P5" s="337" t="s">
        <v>415</v>
      </c>
      <c r="Q5" s="337" t="s">
        <v>527</v>
      </c>
      <c r="R5" s="337" t="s">
        <v>528</v>
      </c>
      <c r="S5" s="335" t="s">
        <v>529</v>
      </c>
      <c r="T5" s="335" t="s">
        <v>530</v>
      </c>
      <c r="U5" s="335" t="s">
        <v>531</v>
      </c>
      <c r="V5" s="335" t="s">
        <v>532</v>
      </c>
      <c r="W5" s="335" t="s">
        <v>533</v>
      </c>
      <c r="X5" s="335" t="s">
        <v>534</v>
      </c>
      <c r="Y5" s="335" t="s">
        <v>535</v>
      </c>
      <c r="Z5" s="335" t="s">
        <v>536</v>
      </c>
      <c r="AA5" s="335" t="s">
        <v>537</v>
      </c>
      <c r="AB5" s="335" t="s">
        <v>538</v>
      </c>
      <c r="AC5" s="335" t="s">
        <v>539</v>
      </c>
      <c r="AD5" s="335" t="s">
        <v>589</v>
      </c>
      <c r="AE5" s="337" t="s">
        <v>183</v>
      </c>
      <c r="AF5" s="1015" t="s">
        <v>541</v>
      </c>
      <c r="AG5" s="1016" t="s">
        <v>586</v>
      </c>
      <c r="AH5" s="337" t="s">
        <v>97</v>
      </c>
      <c r="AI5" s="337" t="s">
        <v>98</v>
      </c>
      <c r="AJ5" s="337" t="s">
        <v>401</v>
      </c>
      <c r="AK5" s="334" t="s">
        <v>402</v>
      </c>
      <c r="AL5" s="334" t="s">
        <v>403</v>
      </c>
      <c r="AM5" s="337" t="s">
        <v>540</v>
      </c>
      <c r="AN5" s="337" t="s">
        <v>596</v>
      </c>
      <c r="AO5" s="337" t="s">
        <v>635</v>
      </c>
      <c r="AP5" s="334" t="s">
        <v>253</v>
      </c>
      <c r="AQ5" s="334" t="s">
        <v>638</v>
      </c>
      <c r="AR5" s="334" t="s">
        <v>280</v>
      </c>
      <c r="AS5" s="337" t="s">
        <v>450</v>
      </c>
      <c r="AT5" s="337" t="s">
        <v>590</v>
      </c>
      <c r="AU5" s="337" t="s">
        <v>591</v>
      </c>
      <c r="AV5" s="361" t="s">
        <v>282</v>
      </c>
    </row>
    <row r="6" spans="1:51" ht="141.75" thickBot="1" x14ac:dyDescent="0.3">
      <c r="A6" s="1026" t="s">
        <v>8</v>
      </c>
      <c r="B6" s="1027"/>
      <c r="C6" s="1028"/>
      <c r="D6" s="793" t="s">
        <v>125</v>
      </c>
      <c r="E6" s="794" t="s">
        <v>399</v>
      </c>
      <c r="F6" s="794" t="s">
        <v>127</v>
      </c>
      <c r="G6" s="794" t="s">
        <v>248</v>
      </c>
      <c r="H6" s="794" t="s">
        <v>416</v>
      </c>
      <c r="I6" s="794" t="s">
        <v>542</v>
      </c>
      <c r="J6" s="794" t="s">
        <v>543</v>
      </c>
      <c r="K6" s="794" t="s">
        <v>544</v>
      </c>
      <c r="L6" s="794" t="s">
        <v>417</v>
      </c>
      <c r="M6" s="795" t="s">
        <v>418</v>
      </c>
      <c r="N6" s="796" t="s">
        <v>419</v>
      </c>
      <c r="O6" s="794" t="s">
        <v>545</v>
      </c>
      <c r="P6" s="794" t="s">
        <v>420</v>
      </c>
      <c r="Q6" s="794" t="s">
        <v>546</v>
      </c>
      <c r="R6" s="797" t="s">
        <v>547</v>
      </c>
      <c r="S6" s="794" t="s">
        <v>548</v>
      </c>
      <c r="T6" s="794" t="s">
        <v>549</v>
      </c>
      <c r="U6" s="794" t="s">
        <v>550</v>
      </c>
      <c r="V6" s="794" t="s">
        <v>551</v>
      </c>
      <c r="W6" s="794" t="s">
        <v>552</v>
      </c>
      <c r="X6" s="602" t="s">
        <v>553</v>
      </c>
      <c r="Y6" s="602" t="s">
        <v>554</v>
      </c>
      <c r="Z6" s="602" t="s">
        <v>555</v>
      </c>
      <c r="AA6" s="982" t="s">
        <v>556</v>
      </c>
      <c r="AB6" s="983" t="s">
        <v>557</v>
      </c>
      <c r="AC6" s="983" t="s">
        <v>558</v>
      </c>
      <c r="AD6" s="983" t="s">
        <v>587</v>
      </c>
      <c r="AE6" s="984" t="s">
        <v>184</v>
      </c>
      <c r="AF6" s="985" t="s">
        <v>567</v>
      </c>
      <c r="AG6" s="985" t="s">
        <v>588</v>
      </c>
      <c r="AH6" s="798" t="s">
        <v>560</v>
      </c>
      <c r="AI6" s="798" t="s">
        <v>561</v>
      </c>
      <c r="AJ6" s="794" t="s">
        <v>435</v>
      </c>
      <c r="AK6" s="794" t="s">
        <v>562</v>
      </c>
      <c r="AL6" s="794" t="s">
        <v>563</v>
      </c>
      <c r="AM6" s="797" t="s">
        <v>559</v>
      </c>
      <c r="AN6" s="797" t="s">
        <v>597</v>
      </c>
      <c r="AO6" s="797" t="s">
        <v>636</v>
      </c>
      <c r="AP6" s="794" t="s">
        <v>565</v>
      </c>
      <c r="AQ6" s="794" t="s">
        <v>637</v>
      </c>
      <c r="AR6" s="794" t="s">
        <v>564</v>
      </c>
      <c r="AS6" s="986" t="s">
        <v>566</v>
      </c>
      <c r="AT6" s="987" t="s">
        <v>584</v>
      </c>
      <c r="AU6" s="988" t="s">
        <v>585</v>
      </c>
      <c r="AV6" s="799" t="s">
        <v>568</v>
      </c>
      <c r="AW6" s="989"/>
      <c r="AX6" s="989"/>
    </row>
    <row r="7" spans="1:51" ht="15.75" thickBot="1" x14ac:dyDescent="0.3">
      <c r="A7" s="644" t="s">
        <v>7</v>
      </c>
      <c r="B7" s="645" t="s">
        <v>7</v>
      </c>
      <c r="C7" s="800"/>
      <c r="D7" s="801" t="s">
        <v>30</v>
      </c>
      <c r="E7" s="990" t="s">
        <v>247</v>
      </c>
      <c r="F7" s="991" t="s">
        <v>247</v>
      </c>
      <c r="G7" s="992" t="s">
        <v>247</v>
      </c>
      <c r="H7" s="990" t="s">
        <v>247</v>
      </c>
      <c r="I7" s="990" t="s">
        <v>247</v>
      </c>
      <c r="J7" s="990" t="s">
        <v>247</v>
      </c>
      <c r="K7" s="990" t="s">
        <v>247</v>
      </c>
      <c r="L7" s="993" t="s">
        <v>247</v>
      </c>
      <c r="M7" s="994" t="s">
        <v>247</v>
      </c>
      <c r="N7" s="991" t="s">
        <v>247</v>
      </c>
      <c r="O7" s="995" t="s">
        <v>247</v>
      </c>
      <c r="P7" s="995" t="s">
        <v>247</v>
      </c>
      <c r="Q7" s="995"/>
      <c r="R7" s="996" t="s">
        <v>247</v>
      </c>
      <c r="S7" s="996" t="s">
        <v>247</v>
      </c>
      <c r="T7" s="996" t="s">
        <v>247</v>
      </c>
      <c r="U7" s="996" t="s">
        <v>247</v>
      </c>
      <c r="V7" s="996" t="s">
        <v>247</v>
      </c>
      <c r="W7" s="996" t="s">
        <v>247</v>
      </c>
      <c r="X7" s="996" t="s">
        <v>247</v>
      </c>
      <c r="Y7" s="996" t="s">
        <v>247</v>
      </c>
      <c r="Z7" s="996" t="s">
        <v>247</v>
      </c>
      <c r="AA7" s="996" t="s">
        <v>247</v>
      </c>
      <c r="AB7" s="996" t="s">
        <v>247</v>
      </c>
      <c r="AC7" s="996" t="s">
        <v>247</v>
      </c>
      <c r="AD7" s="996" t="s">
        <v>247</v>
      </c>
      <c r="AE7" s="996" t="s">
        <v>247</v>
      </c>
      <c r="AF7" s="996" t="s">
        <v>247</v>
      </c>
      <c r="AG7" s="996" t="s">
        <v>247</v>
      </c>
      <c r="AH7" s="996" t="s">
        <v>247</v>
      </c>
      <c r="AI7" s="996" t="s">
        <v>247</v>
      </c>
      <c r="AJ7" s="996" t="s">
        <v>247</v>
      </c>
      <c r="AK7" s="996" t="s">
        <v>247</v>
      </c>
      <c r="AL7" s="996" t="s">
        <v>247</v>
      </c>
      <c r="AM7" s="996" t="s">
        <v>247</v>
      </c>
      <c r="AN7" s="996" t="s">
        <v>247</v>
      </c>
      <c r="AO7" s="996" t="s">
        <v>247</v>
      </c>
      <c r="AP7" s="996" t="s">
        <v>247</v>
      </c>
      <c r="AQ7" s="996" t="s">
        <v>247</v>
      </c>
      <c r="AR7" s="996" t="s">
        <v>247</v>
      </c>
      <c r="AS7" s="993" t="s">
        <v>247</v>
      </c>
      <c r="AT7" s="993" t="s">
        <v>247</v>
      </c>
      <c r="AU7" s="993" t="s">
        <v>247</v>
      </c>
      <c r="AV7" s="994" t="s">
        <v>247</v>
      </c>
      <c r="AW7" s="989"/>
      <c r="AX7" s="989"/>
    </row>
    <row r="8" spans="1:51" ht="15" x14ac:dyDescent="0.25">
      <c r="A8" s="802"/>
      <c r="B8" s="717"/>
      <c r="C8" s="803" t="s">
        <v>210</v>
      </c>
      <c r="D8" s="829">
        <f t="shared" ref="D8:D13" si="0">SUM(E8:AV8)</f>
        <v>0</v>
      </c>
      <c r="E8" s="997"/>
      <c r="F8" s="998"/>
      <c r="G8" s="999"/>
      <c r="H8" s="1000"/>
      <c r="I8" s="1000"/>
      <c r="J8" s="1000"/>
      <c r="K8" s="1000"/>
      <c r="L8" s="999"/>
      <c r="M8" s="339"/>
      <c r="N8" s="1001"/>
      <c r="O8" s="999"/>
      <c r="P8" s="999"/>
      <c r="Q8" s="999"/>
      <c r="R8" s="339"/>
      <c r="S8" s="999"/>
      <c r="T8" s="999"/>
      <c r="U8" s="999"/>
      <c r="V8" s="999"/>
      <c r="W8" s="999"/>
      <c r="X8" s="999"/>
      <c r="Y8" s="999"/>
      <c r="Z8" s="999"/>
      <c r="AA8" s="999"/>
      <c r="AB8" s="999"/>
      <c r="AC8" s="999"/>
      <c r="AD8" s="999"/>
      <c r="AE8" s="1002"/>
      <c r="AF8" s="1002"/>
      <c r="AG8" s="1002"/>
      <c r="AH8" s="1002"/>
      <c r="AI8" s="1002"/>
      <c r="AJ8" s="1000"/>
      <c r="AK8" s="999"/>
      <c r="AL8" s="1000"/>
      <c r="AM8" s="1002"/>
      <c r="AN8" s="1002"/>
      <c r="AO8" s="1002"/>
      <c r="AP8" s="339"/>
      <c r="AQ8" s="1002"/>
      <c r="AR8" s="1000"/>
      <c r="AS8" s="339"/>
      <c r="AT8" s="1003"/>
      <c r="AU8" s="1003"/>
      <c r="AV8" s="1004"/>
      <c r="AW8" s="989"/>
      <c r="AX8" s="989"/>
    </row>
    <row r="9" spans="1:51" ht="15" x14ac:dyDescent="0.25">
      <c r="A9" s="804"/>
      <c r="B9" s="636"/>
      <c r="C9" s="358" t="s">
        <v>283</v>
      </c>
      <c r="D9" s="815">
        <f t="shared" si="0"/>
        <v>2734738</v>
      </c>
      <c r="E9" s="342">
        <f>80694+6803</f>
        <v>87497</v>
      </c>
      <c r="F9" s="340">
        <v>5000</v>
      </c>
      <c r="G9" s="340">
        <f>110000+17723</f>
        <v>127723</v>
      </c>
      <c r="H9" s="340">
        <v>167639</v>
      </c>
      <c r="I9" s="340">
        <f>178586+40819</f>
        <v>219405</v>
      </c>
      <c r="J9" s="340">
        <f>46402</f>
        <v>46402</v>
      </c>
      <c r="K9" s="340">
        <f>371427+13500</f>
        <v>384927</v>
      </c>
      <c r="L9" s="340">
        <f>135523+19740</f>
        <v>155263</v>
      </c>
      <c r="M9" s="343">
        <f>22543+14396</f>
        <v>36939</v>
      </c>
      <c r="N9" s="365">
        <v>11604</v>
      </c>
      <c r="O9" s="342">
        <v>154853</v>
      </c>
      <c r="P9" s="342">
        <v>2613</v>
      </c>
      <c r="Q9" s="342">
        <v>51830</v>
      </c>
      <c r="R9" s="343">
        <f>201450-91056</f>
        <v>110394</v>
      </c>
      <c r="S9" s="342">
        <v>41554</v>
      </c>
      <c r="T9" s="342">
        <v>70732</v>
      </c>
      <c r="U9" s="342">
        <f>145230-121547</f>
        <v>23683</v>
      </c>
      <c r="V9" s="342">
        <v>23871</v>
      </c>
      <c r="W9" s="342">
        <f>32220-11042</f>
        <v>21178</v>
      </c>
      <c r="X9" s="342">
        <f>33215+24832</f>
        <v>58047</v>
      </c>
      <c r="Y9" s="342">
        <f>36870+31420</f>
        <v>68290</v>
      </c>
      <c r="Z9" s="342"/>
      <c r="AA9" s="342">
        <f>21900+31727</f>
        <v>53627</v>
      </c>
      <c r="AB9" s="342">
        <v>120000</v>
      </c>
      <c r="AC9" s="342">
        <f>20100+7393</f>
        <v>27493</v>
      </c>
      <c r="AD9" s="342">
        <v>41106</v>
      </c>
      <c r="AE9" s="343">
        <v>19360</v>
      </c>
      <c r="AF9" s="343">
        <v>127632</v>
      </c>
      <c r="AG9" s="343">
        <v>15000</v>
      </c>
      <c r="AH9" s="343">
        <v>43600</v>
      </c>
      <c r="AI9" s="343">
        <v>3000</v>
      </c>
      <c r="AJ9" s="340">
        <f>29434+332</f>
        <v>29766</v>
      </c>
      <c r="AK9" s="340">
        <v>54450</v>
      </c>
      <c r="AL9" s="340">
        <v>40000</v>
      </c>
      <c r="AM9" s="343">
        <v>100000</v>
      </c>
      <c r="AN9" s="343">
        <v>10000</v>
      </c>
      <c r="AO9" s="343"/>
      <c r="AP9" s="343">
        <v>20000</v>
      </c>
      <c r="AQ9" s="343"/>
      <c r="AR9" s="340">
        <f>15000-4418</f>
        <v>10582</v>
      </c>
      <c r="AS9" s="343">
        <f>72684+26250+4020</f>
        <v>102954</v>
      </c>
      <c r="AT9" s="901">
        <v>13740</v>
      </c>
      <c r="AU9" s="901">
        <v>14834</v>
      </c>
      <c r="AV9" s="1005">
        <v>18150</v>
      </c>
      <c r="AW9" s="989"/>
      <c r="AX9" s="989"/>
    </row>
    <row r="10" spans="1:51" ht="15" x14ac:dyDescent="0.25">
      <c r="A10" s="804"/>
      <c r="B10" s="636"/>
      <c r="C10" s="358" t="s">
        <v>67</v>
      </c>
      <c r="D10" s="815">
        <f t="shared" si="0"/>
        <v>692890</v>
      </c>
      <c r="E10" s="342"/>
      <c r="F10" s="342"/>
      <c r="G10" s="342"/>
      <c r="H10" s="342"/>
      <c r="I10" s="342"/>
      <c r="J10" s="342"/>
      <c r="K10" s="342"/>
      <c r="L10" s="342"/>
      <c r="M10" s="343"/>
      <c r="N10" s="341"/>
      <c r="O10" s="342"/>
      <c r="P10" s="342"/>
      <c r="Q10" s="342"/>
      <c r="R10" s="342"/>
      <c r="S10" s="342"/>
      <c r="T10" s="342"/>
      <c r="U10" s="342"/>
      <c r="V10" s="342"/>
      <c r="W10" s="342"/>
      <c r="X10" s="342"/>
      <c r="Y10" s="342"/>
      <c r="Z10" s="342"/>
      <c r="AA10" s="342"/>
      <c r="AB10" s="342"/>
      <c r="AC10" s="342"/>
      <c r="AD10" s="342"/>
      <c r="AE10" s="343"/>
      <c r="AF10" s="343"/>
      <c r="AG10" s="343"/>
      <c r="AH10" s="343"/>
      <c r="AI10" s="343"/>
      <c r="AJ10" s="342"/>
      <c r="AK10" s="342"/>
      <c r="AL10" s="342"/>
      <c r="AM10" s="343"/>
      <c r="AN10" s="901">
        <v>10000</v>
      </c>
      <c r="AO10" s="901">
        <v>300390</v>
      </c>
      <c r="AP10" s="1006"/>
      <c r="AQ10" s="1006">
        <v>382500</v>
      </c>
      <c r="AR10" s="1007"/>
      <c r="AS10" s="343"/>
      <c r="AT10" s="901"/>
      <c r="AU10" s="901"/>
      <c r="AV10" s="1008"/>
      <c r="AW10" s="989"/>
      <c r="AX10" s="989"/>
    </row>
    <row r="11" spans="1:51" ht="15" x14ac:dyDescent="0.25">
      <c r="A11" s="804"/>
      <c r="B11" s="636"/>
      <c r="C11" s="358" t="s">
        <v>284</v>
      </c>
      <c r="D11" s="815">
        <f t="shared" si="0"/>
        <v>3867366</v>
      </c>
      <c r="E11" s="342"/>
      <c r="F11" s="342"/>
      <c r="G11" s="342"/>
      <c r="H11" s="342"/>
      <c r="I11" s="342"/>
      <c r="J11" s="342"/>
      <c r="K11" s="342">
        <v>400000</v>
      </c>
      <c r="L11" s="342"/>
      <c r="M11" s="342"/>
      <c r="N11" s="1009"/>
      <c r="O11" s="342"/>
      <c r="P11" s="342"/>
      <c r="Q11" s="342">
        <f>293705-35856</f>
        <v>257849</v>
      </c>
      <c r="R11" s="342">
        <f>1141550-515985</f>
        <v>625565</v>
      </c>
      <c r="S11" s="342">
        <f>234855-66043</f>
        <v>168812</v>
      </c>
      <c r="T11" s="342">
        <f>400815-50622</f>
        <v>350193</v>
      </c>
      <c r="U11" s="342">
        <f>822970-688772</f>
        <v>134198</v>
      </c>
      <c r="V11" s="342">
        <f>135269-53198</f>
        <v>82071</v>
      </c>
      <c r="W11" s="342">
        <f>182580-62575</f>
        <v>120005</v>
      </c>
      <c r="X11" s="342">
        <f>188215-27786</f>
        <v>160429</v>
      </c>
      <c r="Y11" s="342">
        <f>208930+109820</f>
        <v>318750</v>
      </c>
      <c r="Z11" s="342"/>
      <c r="AA11" s="342">
        <v>124100</v>
      </c>
      <c r="AB11" s="342"/>
      <c r="AC11" s="342">
        <v>113900</v>
      </c>
      <c r="AD11" s="342">
        <v>232930</v>
      </c>
      <c r="AE11" s="343"/>
      <c r="AF11" s="343">
        <v>382896</v>
      </c>
      <c r="AG11" s="343">
        <v>85000</v>
      </c>
      <c r="AH11" s="343"/>
      <c r="AI11" s="343"/>
      <c r="AJ11" s="342"/>
      <c r="AK11" s="342"/>
      <c r="AL11" s="340"/>
      <c r="AM11" s="343"/>
      <c r="AN11" s="343"/>
      <c r="AO11" s="343"/>
      <c r="AP11" s="342"/>
      <c r="AQ11" s="342"/>
      <c r="AR11" s="342"/>
      <c r="AS11" s="342">
        <v>148750</v>
      </c>
      <c r="AT11" s="1007">
        <v>77860</v>
      </c>
      <c r="AU11" s="1007">
        <v>84058</v>
      </c>
      <c r="AV11" s="1008"/>
      <c r="AW11" s="989"/>
      <c r="AX11" s="989"/>
    </row>
    <row r="12" spans="1:51" ht="15" x14ac:dyDescent="0.25">
      <c r="A12" s="804"/>
      <c r="B12" s="636"/>
      <c r="C12" s="828" t="s">
        <v>285</v>
      </c>
      <c r="D12" s="815">
        <f t="shared" si="0"/>
        <v>1235382</v>
      </c>
      <c r="E12" s="342"/>
      <c r="F12" s="342"/>
      <c r="G12" s="342"/>
      <c r="H12" s="340">
        <v>152081</v>
      </c>
      <c r="I12" s="340">
        <v>9000</v>
      </c>
      <c r="J12" s="340"/>
      <c r="K12" s="340"/>
      <c r="L12" s="342">
        <v>325269</v>
      </c>
      <c r="M12" s="343">
        <v>48461</v>
      </c>
      <c r="N12" s="341">
        <v>17750</v>
      </c>
      <c r="O12" s="342">
        <v>464769</v>
      </c>
      <c r="P12" s="342"/>
      <c r="Q12" s="342"/>
      <c r="R12" s="342"/>
      <c r="S12" s="342"/>
      <c r="T12" s="342"/>
      <c r="U12" s="342"/>
      <c r="V12" s="342"/>
      <c r="W12" s="342"/>
      <c r="X12" s="342"/>
      <c r="Y12" s="342"/>
      <c r="Z12" s="342"/>
      <c r="AA12" s="342"/>
      <c r="AB12" s="342"/>
      <c r="AC12" s="342"/>
      <c r="AD12" s="342"/>
      <c r="AE12" s="343"/>
      <c r="AF12" s="343"/>
      <c r="AG12" s="343"/>
      <c r="AH12" s="343"/>
      <c r="AI12" s="343"/>
      <c r="AJ12" s="340"/>
      <c r="AK12" s="342"/>
      <c r="AL12" s="340"/>
      <c r="AM12" s="343"/>
      <c r="AN12" s="343"/>
      <c r="AO12" s="343"/>
      <c r="AP12" s="343"/>
      <c r="AQ12" s="343"/>
      <c r="AR12" s="340"/>
      <c r="AS12" s="343">
        <v>218052</v>
      </c>
      <c r="AT12" s="901"/>
      <c r="AU12" s="901"/>
      <c r="AV12" s="1005"/>
      <c r="AW12" s="989"/>
      <c r="AX12" s="989"/>
    </row>
    <row r="13" spans="1:51" ht="15.75" thickBot="1" x14ac:dyDescent="0.3">
      <c r="A13" s="807"/>
      <c r="B13" s="642"/>
      <c r="C13" s="828" t="s">
        <v>9</v>
      </c>
      <c r="D13" s="815">
        <f t="shared" si="0"/>
        <v>0</v>
      </c>
      <c r="E13" s="1010"/>
      <c r="F13" s="1010"/>
      <c r="G13" s="1010"/>
      <c r="H13" s="345"/>
      <c r="I13" s="345"/>
      <c r="J13" s="345"/>
      <c r="K13" s="345"/>
      <c r="L13" s="1010"/>
      <c r="M13" s="343"/>
      <c r="N13" s="1011"/>
      <c r="O13" s="1010"/>
      <c r="P13" s="1010"/>
      <c r="Q13" s="1010"/>
      <c r="R13" s="1010"/>
      <c r="S13" s="1010"/>
      <c r="T13" s="1010"/>
      <c r="U13" s="1010"/>
      <c r="V13" s="1010"/>
      <c r="W13" s="1010"/>
      <c r="X13" s="1010"/>
      <c r="Y13" s="1010"/>
      <c r="Z13" s="1010"/>
      <c r="AA13" s="1010"/>
      <c r="AB13" s="1010"/>
      <c r="AC13" s="1010"/>
      <c r="AD13" s="1010"/>
      <c r="AE13" s="1012"/>
      <c r="AF13" s="1012"/>
      <c r="AG13" s="1012"/>
      <c r="AH13" s="1012"/>
      <c r="AI13" s="1012"/>
      <c r="AJ13" s="345"/>
      <c r="AK13" s="1010"/>
      <c r="AL13" s="345"/>
      <c r="AM13" s="1012"/>
      <c r="AN13" s="1012"/>
      <c r="AO13" s="1012"/>
      <c r="AP13" s="343"/>
      <c r="AQ13" s="1012"/>
      <c r="AR13" s="345"/>
      <c r="AS13" s="343"/>
      <c r="AT13" s="1013"/>
      <c r="AU13" s="1013"/>
      <c r="AV13" s="1014"/>
      <c r="AW13" s="989"/>
      <c r="AX13" s="989"/>
    </row>
    <row r="14" spans="1:51" ht="15.75" thickBot="1" x14ac:dyDescent="0.3">
      <c r="A14" s="346"/>
      <c r="B14" s="821"/>
      <c r="C14" s="347" t="s">
        <v>39</v>
      </c>
      <c r="D14" s="356">
        <f>SUM(D9:D13)</f>
        <v>8530376</v>
      </c>
      <c r="E14" s="354">
        <f>SUM(E9:E13)</f>
        <v>87497</v>
      </c>
      <c r="F14" s="354">
        <f t="shared" ref="F14:AV14" si="1">SUM(F9:F13)</f>
        <v>5000</v>
      </c>
      <c r="G14" s="354">
        <f t="shared" si="1"/>
        <v>127723</v>
      </c>
      <c r="H14" s="354">
        <f t="shared" si="1"/>
        <v>319720</v>
      </c>
      <c r="I14" s="354">
        <f t="shared" si="1"/>
        <v>228405</v>
      </c>
      <c r="J14" s="354">
        <f t="shared" si="1"/>
        <v>46402</v>
      </c>
      <c r="K14" s="354">
        <f>SUM(K9:K13)</f>
        <v>784927</v>
      </c>
      <c r="L14" s="354">
        <f t="shared" si="1"/>
        <v>480532</v>
      </c>
      <c r="M14" s="354">
        <f t="shared" si="1"/>
        <v>85400</v>
      </c>
      <c r="N14" s="354">
        <f t="shared" si="1"/>
        <v>29354</v>
      </c>
      <c r="O14" s="354">
        <f t="shared" si="1"/>
        <v>619622</v>
      </c>
      <c r="P14" s="354">
        <f>SUM(P9:P13)</f>
        <v>2613</v>
      </c>
      <c r="Q14" s="354">
        <f t="shared" si="1"/>
        <v>309679</v>
      </c>
      <c r="R14" s="354">
        <f t="shared" si="1"/>
        <v>735959</v>
      </c>
      <c r="S14" s="354">
        <f t="shared" si="1"/>
        <v>210366</v>
      </c>
      <c r="T14" s="354">
        <f t="shared" si="1"/>
        <v>420925</v>
      </c>
      <c r="U14" s="354">
        <f t="shared" si="1"/>
        <v>157881</v>
      </c>
      <c r="V14" s="354">
        <f t="shared" si="1"/>
        <v>105942</v>
      </c>
      <c r="W14" s="354">
        <f t="shared" si="1"/>
        <v>141183</v>
      </c>
      <c r="X14" s="354">
        <f t="shared" si="1"/>
        <v>218476</v>
      </c>
      <c r="Y14" s="354">
        <f t="shared" si="1"/>
        <v>387040</v>
      </c>
      <c r="Z14" s="354">
        <f t="shared" si="1"/>
        <v>0</v>
      </c>
      <c r="AA14" s="354">
        <f t="shared" si="1"/>
        <v>177727</v>
      </c>
      <c r="AB14" s="354">
        <f t="shared" si="1"/>
        <v>120000</v>
      </c>
      <c r="AC14" s="354">
        <f t="shared" si="1"/>
        <v>141393</v>
      </c>
      <c r="AD14" s="354">
        <f t="shared" ref="AD14" si="2">SUM(AD9:AD13)</f>
        <v>274036</v>
      </c>
      <c r="AE14" s="354">
        <f t="shared" si="1"/>
        <v>19360</v>
      </c>
      <c r="AF14" s="354">
        <f>SUM(AF9:AF13)</f>
        <v>510528</v>
      </c>
      <c r="AG14" s="354">
        <f>SUM(AG9:AG13)</f>
        <v>100000</v>
      </c>
      <c r="AH14" s="354">
        <f t="shared" si="1"/>
        <v>43600</v>
      </c>
      <c r="AI14" s="354">
        <f t="shared" si="1"/>
        <v>3000</v>
      </c>
      <c r="AJ14" s="354">
        <f t="shared" si="1"/>
        <v>29766</v>
      </c>
      <c r="AK14" s="354">
        <f t="shared" si="1"/>
        <v>54450</v>
      </c>
      <c r="AL14" s="354">
        <f t="shared" si="1"/>
        <v>40000</v>
      </c>
      <c r="AM14" s="354">
        <f>SUM(AM9:AM13)</f>
        <v>100000</v>
      </c>
      <c r="AN14" s="354">
        <f>SUM(AN9:AN13)</f>
        <v>20000</v>
      </c>
      <c r="AO14" s="354">
        <f>SUM(AO9:AO13)</f>
        <v>300390</v>
      </c>
      <c r="AP14" s="354">
        <f>SUM(AP9:AP13)</f>
        <v>20000</v>
      </c>
      <c r="AQ14" s="354">
        <f>SUM(AQ9:AQ13)</f>
        <v>382500</v>
      </c>
      <c r="AR14" s="354">
        <f t="shared" si="1"/>
        <v>10582</v>
      </c>
      <c r="AS14" s="354">
        <f t="shared" si="1"/>
        <v>469756</v>
      </c>
      <c r="AT14" s="354">
        <f t="shared" si="1"/>
        <v>91600</v>
      </c>
      <c r="AU14" s="354">
        <f t="shared" si="1"/>
        <v>98892</v>
      </c>
      <c r="AV14" s="367">
        <f t="shared" si="1"/>
        <v>18150</v>
      </c>
      <c r="AW14" s="989"/>
      <c r="AX14" s="989"/>
    </row>
    <row r="15" spans="1:51" ht="15.75" thickBot="1" x14ac:dyDescent="0.3">
      <c r="A15" s="348"/>
      <c r="B15" s="822"/>
      <c r="C15" s="353" t="s">
        <v>212</v>
      </c>
      <c r="D15" s="349">
        <f>SUM(D8+D14)</f>
        <v>8530376</v>
      </c>
      <c r="E15" s="355">
        <f t="shared" ref="E15:AV15" si="3">SUM(E8+E14)</f>
        <v>87497</v>
      </c>
      <c r="F15" s="355">
        <f t="shared" si="3"/>
        <v>5000</v>
      </c>
      <c r="G15" s="355">
        <f t="shared" si="3"/>
        <v>127723</v>
      </c>
      <c r="H15" s="355">
        <f t="shared" si="3"/>
        <v>319720</v>
      </c>
      <c r="I15" s="355">
        <f t="shared" si="3"/>
        <v>228405</v>
      </c>
      <c r="J15" s="355">
        <f t="shared" si="3"/>
        <v>46402</v>
      </c>
      <c r="K15" s="355">
        <f>SUM(K8+K14)</f>
        <v>784927</v>
      </c>
      <c r="L15" s="355">
        <f t="shared" si="3"/>
        <v>480532</v>
      </c>
      <c r="M15" s="355">
        <f t="shared" si="3"/>
        <v>85400</v>
      </c>
      <c r="N15" s="355">
        <f t="shared" si="3"/>
        <v>29354</v>
      </c>
      <c r="O15" s="355">
        <f t="shared" si="3"/>
        <v>619622</v>
      </c>
      <c r="P15" s="355">
        <f>SUM(P8+P14)</f>
        <v>2613</v>
      </c>
      <c r="Q15" s="355">
        <f t="shared" si="3"/>
        <v>309679</v>
      </c>
      <c r="R15" s="355">
        <f t="shared" si="3"/>
        <v>735959</v>
      </c>
      <c r="S15" s="355">
        <f t="shared" si="3"/>
        <v>210366</v>
      </c>
      <c r="T15" s="355">
        <f t="shared" si="3"/>
        <v>420925</v>
      </c>
      <c r="U15" s="355">
        <f t="shared" si="3"/>
        <v>157881</v>
      </c>
      <c r="V15" s="355">
        <f t="shared" si="3"/>
        <v>105942</v>
      </c>
      <c r="W15" s="355">
        <f t="shared" si="3"/>
        <v>141183</v>
      </c>
      <c r="X15" s="355">
        <f t="shared" si="3"/>
        <v>218476</v>
      </c>
      <c r="Y15" s="355">
        <f t="shared" si="3"/>
        <v>387040</v>
      </c>
      <c r="Z15" s="355">
        <f t="shared" si="3"/>
        <v>0</v>
      </c>
      <c r="AA15" s="355">
        <f t="shared" si="3"/>
        <v>177727</v>
      </c>
      <c r="AB15" s="355">
        <f t="shared" si="3"/>
        <v>120000</v>
      </c>
      <c r="AC15" s="355">
        <f t="shared" si="3"/>
        <v>141393</v>
      </c>
      <c r="AD15" s="355">
        <f t="shared" ref="AD15" si="4">SUM(AD8+AD14)</f>
        <v>274036</v>
      </c>
      <c r="AE15" s="355">
        <f t="shared" si="3"/>
        <v>19360</v>
      </c>
      <c r="AF15" s="355">
        <f>SUM(AF8+AF14)</f>
        <v>510528</v>
      </c>
      <c r="AG15" s="355">
        <f>SUM(AG8+AG14)</f>
        <v>100000</v>
      </c>
      <c r="AH15" s="355">
        <f t="shared" si="3"/>
        <v>43600</v>
      </c>
      <c r="AI15" s="355">
        <f t="shared" si="3"/>
        <v>3000</v>
      </c>
      <c r="AJ15" s="355">
        <f t="shared" si="3"/>
        <v>29766</v>
      </c>
      <c r="AK15" s="355">
        <f t="shared" si="3"/>
        <v>54450</v>
      </c>
      <c r="AL15" s="355">
        <f t="shared" si="3"/>
        <v>40000</v>
      </c>
      <c r="AM15" s="355">
        <f>SUM(AM8+AM14)</f>
        <v>100000</v>
      </c>
      <c r="AN15" s="355">
        <f>SUM(AN8+AN14)</f>
        <v>20000</v>
      </c>
      <c r="AO15" s="355">
        <f>SUM(AO8+AO14)</f>
        <v>300390</v>
      </c>
      <c r="AP15" s="355">
        <f>SUM(AP8+AP14)</f>
        <v>20000</v>
      </c>
      <c r="AQ15" s="355">
        <f>SUM(AQ8+AQ14)</f>
        <v>382500</v>
      </c>
      <c r="AR15" s="355">
        <f t="shared" si="3"/>
        <v>10582</v>
      </c>
      <c r="AS15" s="355">
        <f t="shared" si="3"/>
        <v>469756</v>
      </c>
      <c r="AT15" s="355">
        <f t="shared" si="3"/>
        <v>91600</v>
      </c>
      <c r="AU15" s="355">
        <f t="shared" si="3"/>
        <v>98892</v>
      </c>
      <c r="AV15" s="355">
        <f t="shared" si="3"/>
        <v>18150</v>
      </c>
    </row>
    <row r="16" spans="1:51" ht="15.75" thickBot="1" x14ac:dyDescent="0.3">
      <c r="A16" s="369"/>
      <c r="B16" s="369"/>
      <c r="C16" s="369"/>
      <c r="D16" s="808"/>
      <c r="E16" s="808"/>
      <c r="F16" s="808"/>
      <c r="G16" s="808"/>
      <c r="H16" s="808"/>
      <c r="I16" s="350"/>
      <c r="J16" s="350"/>
      <c r="K16" s="350"/>
      <c r="L16" s="808"/>
      <c r="M16" s="717"/>
      <c r="N16" s="808"/>
      <c r="O16" s="808"/>
      <c r="P16" s="808"/>
      <c r="Q16" s="808"/>
      <c r="R16" s="808"/>
      <c r="S16" s="808"/>
      <c r="T16" s="808"/>
      <c r="U16" s="808"/>
      <c r="V16" s="808"/>
      <c r="W16" s="808"/>
      <c r="X16" s="808"/>
      <c r="Y16" s="808"/>
      <c r="Z16" s="808"/>
      <c r="AA16" s="808"/>
      <c r="AB16" s="808"/>
      <c r="AC16" s="808"/>
      <c r="AD16" s="808"/>
      <c r="AE16" s="626"/>
      <c r="AF16" s="626"/>
      <c r="AG16" s="626"/>
      <c r="AH16" s="626"/>
      <c r="AI16" s="626"/>
      <c r="AJ16" s="808"/>
      <c r="AK16" s="808"/>
      <c r="AL16" s="808"/>
      <c r="AM16" s="626"/>
      <c r="AN16" s="626"/>
      <c r="AO16" s="626"/>
      <c r="AP16" s="809"/>
      <c r="AQ16" s="809"/>
      <c r="AR16" s="808"/>
      <c r="AS16" s="717"/>
      <c r="AT16" s="626"/>
      <c r="AU16" s="626"/>
      <c r="AV16" s="808"/>
    </row>
    <row r="17" spans="1:48" ht="19.5" thickBot="1" x14ac:dyDescent="0.35">
      <c r="A17" s="633" t="s">
        <v>7</v>
      </c>
      <c r="B17" s="634" t="s">
        <v>7</v>
      </c>
      <c r="C17" s="810" t="s">
        <v>10</v>
      </c>
      <c r="D17" s="811" t="s">
        <v>34</v>
      </c>
      <c r="E17" s="812" t="s">
        <v>247</v>
      </c>
      <c r="F17" s="812" t="s">
        <v>247</v>
      </c>
      <c r="G17" s="812" t="s">
        <v>247</v>
      </c>
      <c r="H17" s="812" t="s">
        <v>247</v>
      </c>
      <c r="I17" s="338" t="s">
        <v>247</v>
      </c>
      <c r="J17" s="338" t="s">
        <v>247</v>
      </c>
      <c r="K17" s="338" t="s">
        <v>247</v>
      </c>
      <c r="L17" s="812" t="s">
        <v>247</v>
      </c>
      <c r="M17" s="812" t="s">
        <v>247</v>
      </c>
      <c r="N17" s="813" t="s">
        <v>247</v>
      </c>
      <c r="O17" s="812" t="s">
        <v>247</v>
      </c>
      <c r="P17" s="812" t="s">
        <v>247</v>
      </c>
      <c r="Q17" s="812" t="s">
        <v>247</v>
      </c>
      <c r="R17" s="812" t="s">
        <v>247</v>
      </c>
      <c r="S17" s="812" t="s">
        <v>247</v>
      </c>
      <c r="T17" s="812" t="s">
        <v>247</v>
      </c>
      <c r="U17" s="812" t="s">
        <v>247</v>
      </c>
      <c r="V17" s="812" t="s">
        <v>247</v>
      </c>
      <c r="W17" s="812" t="s">
        <v>247</v>
      </c>
      <c r="X17" s="812" t="s">
        <v>247</v>
      </c>
      <c r="Y17" s="812" t="s">
        <v>247</v>
      </c>
      <c r="Z17" s="812" t="s">
        <v>247</v>
      </c>
      <c r="AA17" s="812" t="s">
        <v>247</v>
      </c>
      <c r="AB17" s="812" t="s">
        <v>247</v>
      </c>
      <c r="AC17" s="812" t="s">
        <v>247</v>
      </c>
      <c r="AD17" s="812" t="s">
        <v>247</v>
      </c>
      <c r="AE17" s="812" t="s">
        <v>247</v>
      </c>
      <c r="AF17" s="812" t="s">
        <v>247</v>
      </c>
      <c r="AG17" s="812" t="s">
        <v>247</v>
      </c>
      <c r="AH17" s="812" t="s">
        <v>247</v>
      </c>
      <c r="AI17" s="812" t="s">
        <v>247</v>
      </c>
      <c r="AJ17" s="812" t="s">
        <v>247</v>
      </c>
      <c r="AK17" s="812" t="s">
        <v>247</v>
      </c>
      <c r="AL17" s="812" t="s">
        <v>247</v>
      </c>
      <c r="AM17" s="812" t="s">
        <v>247</v>
      </c>
      <c r="AN17" s="812" t="s">
        <v>247</v>
      </c>
      <c r="AO17" s="812" t="s">
        <v>247</v>
      </c>
      <c r="AP17" s="812" t="s">
        <v>247</v>
      </c>
      <c r="AQ17" s="812" t="s">
        <v>247</v>
      </c>
      <c r="AR17" s="812" t="s">
        <v>247</v>
      </c>
      <c r="AS17" s="812" t="s">
        <v>247</v>
      </c>
      <c r="AT17" s="812" t="s">
        <v>247</v>
      </c>
      <c r="AU17" s="812" t="s">
        <v>247</v>
      </c>
      <c r="AV17" s="812" t="s">
        <v>247</v>
      </c>
    </row>
    <row r="18" spans="1:48" ht="15" x14ac:dyDescent="0.25">
      <c r="A18" s="823">
        <v>1100</v>
      </c>
      <c r="B18" s="717"/>
      <c r="C18" s="824" t="s">
        <v>11</v>
      </c>
      <c r="D18" s="814">
        <f>SUM(E18:AV18)</f>
        <v>1618</v>
      </c>
      <c r="E18" s="825">
        <v>0</v>
      </c>
      <c r="F18" s="825">
        <v>0</v>
      </c>
      <c r="G18" s="825">
        <v>0</v>
      </c>
      <c r="H18" s="825">
        <v>0</v>
      </c>
      <c r="I18" s="825">
        <v>0</v>
      </c>
      <c r="J18" s="825">
        <v>0</v>
      </c>
      <c r="K18" s="825">
        <v>0</v>
      </c>
      <c r="L18" s="825">
        <v>0</v>
      </c>
      <c r="M18" s="825">
        <v>0</v>
      </c>
      <c r="N18" s="825">
        <v>0</v>
      </c>
      <c r="O18" s="825">
        <v>0</v>
      </c>
      <c r="P18" s="825">
        <v>0</v>
      </c>
      <c r="Q18" s="825">
        <v>0</v>
      </c>
      <c r="R18" s="825">
        <v>0</v>
      </c>
      <c r="S18" s="825">
        <v>0</v>
      </c>
      <c r="T18" s="825">
        <v>0</v>
      </c>
      <c r="U18" s="825">
        <v>0</v>
      </c>
      <c r="V18" s="825">
        <v>0</v>
      </c>
      <c r="W18" s="825">
        <v>0</v>
      </c>
      <c r="X18" s="825">
        <v>0</v>
      </c>
      <c r="Y18" s="825">
        <v>0</v>
      </c>
      <c r="Z18" s="825">
        <v>0</v>
      </c>
      <c r="AA18" s="825">
        <v>0</v>
      </c>
      <c r="AB18" s="825">
        <v>0</v>
      </c>
      <c r="AC18" s="825">
        <v>0</v>
      </c>
      <c r="AD18" s="825">
        <v>0</v>
      </c>
      <c r="AE18" s="825">
        <v>0</v>
      </c>
      <c r="AF18" s="825">
        <v>0</v>
      </c>
      <c r="AG18" s="825">
        <v>0</v>
      </c>
      <c r="AH18" s="825">
        <v>0</v>
      </c>
      <c r="AI18" s="825">
        <v>0</v>
      </c>
      <c r="AJ18" s="825">
        <v>0</v>
      </c>
      <c r="AK18" s="825">
        <v>0</v>
      </c>
      <c r="AL18" s="825">
        <v>0</v>
      </c>
      <c r="AM18" s="825">
        <v>0</v>
      </c>
      <c r="AN18" s="825">
        <v>1618</v>
      </c>
      <c r="AO18" s="825"/>
      <c r="AP18" s="825">
        <v>0</v>
      </c>
      <c r="AQ18" s="825"/>
      <c r="AR18" s="825">
        <v>0</v>
      </c>
      <c r="AS18" s="825">
        <v>0</v>
      </c>
      <c r="AT18" s="825">
        <v>0</v>
      </c>
      <c r="AU18" s="825">
        <v>0</v>
      </c>
      <c r="AV18" s="825">
        <v>0</v>
      </c>
    </row>
    <row r="19" spans="1:48" ht="28.5" customHeight="1" x14ac:dyDescent="0.25">
      <c r="A19" s="720">
        <v>1200</v>
      </c>
      <c r="B19" s="636"/>
      <c r="C19" s="610" t="s">
        <v>12</v>
      </c>
      <c r="D19" s="815">
        <f>SUM(E19:AV19)</f>
        <v>382</v>
      </c>
      <c r="E19" s="806">
        <v>0</v>
      </c>
      <c r="F19" s="806">
        <v>0</v>
      </c>
      <c r="G19" s="806">
        <v>0</v>
      </c>
      <c r="H19" s="806">
        <v>0</v>
      </c>
      <c r="I19" s="806">
        <v>0</v>
      </c>
      <c r="J19" s="806">
        <v>0</v>
      </c>
      <c r="K19" s="806">
        <v>0</v>
      </c>
      <c r="L19" s="806">
        <v>0</v>
      </c>
      <c r="M19" s="806">
        <v>0</v>
      </c>
      <c r="N19" s="806">
        <v>0</v>
      </c>
      <c r="O19" s="806">
        <v>0</v>
      </c>
      <c r="P19" s="806">
        <v>0</v>
      </c>
      <c r="Q19" s="806">
        <v>0</v>
      </c>
      <c r="R19" s="806">
        <v>0</v>
      </c>
      <c r="S19" s="806">
        <v>0</v>
      </c>
      <c r="T19" s="806">
        <v>0</v>
      </c>
      <c r="U19" s="806">
        <v>0</v>
      </c>
      <c r="V19" s="806">
        <v>0</v>
      </c>
      <c r="W19" s="806">
        <v>0</v>
      </c>
      <c r="X19" s="806">
        <v>0</v>
      </c>
      <c r="Y19" s="806">
        <v>0</v>
      </c>
      <c r="Z19" s="806">
        <v>0</v>
      </c>
      <c r="AA19" s="806">
        <v>0</v>
      </c>
      <c r="AB19" s="806">
        <v>0</v>
      </c>
      <c r="AC19" s="806">
        <v>0</v>
      </c>
      <c r="AD19" s="806">
        <v>0</v>
      </c>
      <c r="AE19" s="806">
        <v>0</v>
      </c>
      <c r="AF19" s="806">
        <v>0</v>
      </c>
      <c r="AG19" s="806">
        <v>0</v>
      </c>
      <c r="AH19" s="806">
        <v>0</v>
      </c>
      <c r="AI19" s="806">
        <v>0</v>
      </c>
      <c r="AJ19" s="806">
        <v>0</v>
      </c>
      <c r="AK19" s="806">
        <v>0</v>
      </c>
      <c r="AL19" s="806">
        <v>0</v>
      </c>
      <c r="AM19" s="806">
        <v>0</v>
      </c>
      <c r="AN19" s="806">
        <v>382</v>
      </c>
      <c r="AO19" s="806"/>
      <c r="AP19" s="806">
        <v>0</v>
      </c>
      <c r="AQ19" s="806"/>
      <c r="AR19" s="806">
        <v>0</v>
      </c>
      <c r="AS19" s="806">
        <v>0</v>
      </c>
      <c r="AT19" s="806">
        <v>0</v>
      </c>
      <c r="AU19" s="806">
        <v>0</v>
      </c>
      <c r="AV19" s="806">
        <v>0</v>
      </c>
    </row>
    <row r="20" spans="1:48" ht="15" x14ac:dyDescent="0.25">
      <c r="A20" s="720">
        <v>2000</v>
      </c>
      <c r="B20" s="636"/>
      <c r="C20" s="358" t="s">
        <v>13</v>
      </c>
      <c r="D20" s="815">
        <f t="shared" ref="D20:AV20" si="5">SUM(D21+D22+D23+D24+D25)</f>
        <v>212372</v>
      </c>
      <c r="E20" s="806">
        <f t="shared" si="5"/>
        <v>32803</v>
      </c>
      <c r="F20" s="806">
        <f t="shared" si="5"/>
        <v>5000</v>
      </c>
      <c r="G20" s="806">
        <f t="shared" si="5"/>
        <v>111609</v>
      </c>
      <c r="H20" s="806">
        <f t="shared" si="5"/>
        <v>0</v>
      </c>
      <c r="I20" s="806">
        <f t="shared" si="5"/>
        <v>0</v>
      </c>
      <c r="J20" s="806">
        <f t="shared" si="5"/>
        <v>0</v>
      </c>
      <c r="K20" s="806">
        <f t="shared" si="5"/>
        <v>0</v>
      </c>
      <c r="L20" s="806">
        <f t="shared" si="5"/>
        <v>0</v>
      </c>
      <c r="M20" s="806">
        <f t="shared" si="5"/>
        <v>0</v>
      </c>
      <c r="N20" s="806">
        <f t="shared" si="5"/>
        <v>0</v>
      </c>
      <c r="O20" s="806">
        <f t="shared" si="5"/>
        <v>0</v>
      </c>
      <c r="P20" s="806">
        <f>SUM(P21+P22+P23+P24+P25)</f>
        <v>0</v>
      </c>
      <c r="Q20" s="806">
        <f t="shared" si="5"/>
        <v>0</v>
      </c>
      <c r="R20" s="806">
        <f t="shared" si="5"/>
        <v>0</v>
      </c>
      <c r="S20" s="806">
        <f t="shared" si="5"/>
        <v>0</v>
      </c>
      <c r="T20" s="806">
        <f t="shared" si="5"/>
        <v>0</v>
      </c>
      <c r="U20" s="806">
        <f t="shared" si="5"/>
        <v>0</v>
      </c>
      <c r="V20" s="806">
        <f t="shared" si="5"/>
        <v>0</v>
      </c>
      <c r="W20" s="806">
        <f t="shared" si="5"/>
        <v>0</v>
      </c>
      <c r="X20" s="806">
        <f t="shared" si="5"/>
        <v>0</v>
      </c>
      <c r="Y20" s="806">
        <f t="shared" si="5"/>
        <v>0</v>
      </c>
      <c r="Z20" s="806">
        <f t="shared" si="5"/>
        <v>0</v>
      </c>
      <c r="AA20" s="806">
        <f t="shared" si="5"/>
        <v>0</v>
      </c>
      <c r="AB20" s="806">
        <f t="shared" si="5"/>
        <v>0</v>
      </c>
      <c r="AC20" s="806">
        <f t="shared" si="5"/>
        <v>0</v>
      </c>
      <c r="AD20" s="806">
        <f t="shared" ref="AD20" si="6">SUM(AD21+AD22+AD23+AD24+AD25)</f>
        <v>0</v>
      </c>
      <c r="AE20" s="806">
        <f t="shared" si="5"/>
        <v>19360</v>
      </c>
      <c r="AF20" s="806">
        <f>SUM(AF21+AF22+AF23+AF24+AF25)</f>
        <v>0</v>
      </c>
      <c r="AG20" s="806">
        <f>SUM(AG21+AG22+AG23+AG24+AG25)</f>
        <v>0</v>
      </c>
      <c r="AH20" s="806">
        <f t="shared" si="5"/>
        <v>25600</v>
      </c>
      <c r="AI20" s="806">
        <f t="shared" si="5"/>
        <v>0</v>
      </c>
      <c r="AJ20" s="806">
        <f t="shared" si="5"/>
        <v>0</v>
      </c>
      <c r="AK20" s="806">
        <f t="shared" si="5"/>
        <v>0</v>
      </c>
      <c r="AL20" s="806">
        <f t="shared" si="5"/>
        <v>0</v>
      </c>
      <c r="AM20" s="806">
        <f>SUM(AM21+AM22+AM23+AM24+AM25)</f>
        <v>0</v>
      </c>
      <c r="AN20" s="806">
        <f>SUM(AN21+AN22+AN23+AN24+AN25)</f>
        <v>18000</v>
      </c>
      <c r="AO20" s="806">
        <f>SUM(AO21+AO22+AO23+AO24+AO25)</f>
        <v>0</v>
      </c>
      <c r="AP20" s="806">
        <f>SUM(AP21+AP22+AP23+AP24+AP25)</f>
        <v>0</v>
      </c>
      <c r="AQ20" s="806">
        <f>SUM(AQ21+AQ22+AQ23+AQ24+AQ25)</f>
        <v>0</v>
      </c>
      <c r="AR20" s="806">
        <f t="shared" si="5"/>
        <v>0</v>
      </c>
      <c r="AS20" s="806">
        <f t="shared" si="5"/>
        <v>0</v>
      </c>
      <c r="AT20" s="806">
        <f t="shared" ref="AT20:AU20" si="7">SUM(AT21+AT22+AT23+AT24+AT25)</f>
        <v>0</v>
      </c>
      <c r="AU20" s="806">
        <f t="shared" si="7"/>
        <v>0</v>
      </c>
      <c r="AV20" s="806">
        <f t="shared" si="5"/>
        <v>0</v>
      </c>
    </row>
    <row r="21" spans="1:48" ht="15" x14ac:dyDescent="0.25">
      <c r="A21" s="720">
        <v>2100</v>
      </c>
      <c r="B21" s="636"/>
      <c r="C21" s="358" t="s">
        <v>14</v>
      </c>
      <c r="D21" s="815">
        <f t="shared" ref="D21:D32" si="8">SUM(E21:AV21)</f>
        <v>0</v>
      </c>
      <c r="E21" s="806">
        <v>0</v>
      </c>
      <c r="F21" s="806">
        <v>0</v>
      </c>
      <c r="G21" s="806">
        <v>0</v>
      </c>
      <c r="H21" s="806">
        <v>0</v>
      </c>
      <c r="I21" s="806">
        <v>0</v>
      </c>
      <c r="J21" s="806">
        <v>0</v>
      </c>
      <c r="K21" s="806">
        <v>0</v>
      </c>
      <c r="L21" s="806">
        <v>0</v>
      </c>
      <c r="M21" s="806">
        <v>0</v>
      </c>
      <c r="N21" s="806">
        <v>0</v>
      </c>
      <c r="O21" s="806">
        <v>0</v>
      </c>
      <c r="P21" s="806">
        <v>0</v>
      </c>
      <c r="Q21" s="806">
        <v>0</v>
      </c>
      <c r="R21" s="806">
        <v>0</v>
      </c>
      <c r="S21" s="806">
        <v>0</v>
      </c>
      <c r="T21" s="806">
        <v>0</v>
      </c>
      <c r="U21" s="806">
        <v>0</v>
      </c>
      <c r="V21" s="806">
        <v>0</v>
      </c>
      <c r="W21" s="806">
        <v>0</v>
      </c>
      <c r="X21" s="806">
        <v>0</v>
      </c>
      <c r="Y21" s="806">
        <v>0</v>
      </c>
      <c r="Z21" s="806">
        <v>0</v>
      </c>
      <c r="AA21" s="806">
        <v>0</v>
      </c>
      <c r="AB21" s="806">
        <v>0</v>
      </c>
      <c r="AC21" s="806">
        <v>0</v>
      </c>
      <c r="AD21" s="806">
        <v>0</v>
      </c>
      <c r="AE21" s="806">
        <v>0</v>
      </c>
      <c r="AF21" s="806">
        <v>0</v>
      </c>
      <c r="AG21" s="806">
        <v>0</v>
      </c>
      <c r="AH21" s="806">
        <v>0</v>
      </c>
      <c r="AI21" s="806">
        <v>0</v>
      </c>
      <c r="AJ21" s="806">
        <v>0</v>
      </c>
      <c r="AK21" s="806">
        <v>0</v>
      </c>
      <c r="AL21" s="806">
        <v>0</v>
      </c>
      <c r="AM21" s="806">
        <v>0</v>
      </c>
      <c r="AN21" s="806"/>
      <c r="AO21" s="806"/>
      <c r="AP21" s="806">
        <v>0</v>
      </c>
      <c r="AQ21" s="806"/>
      <c r="AR21" s="806">
        <v>0</v>
      </c>
      <c r="AS21" s="806">
        <v>0</v>
      </c>
      <c r="AT21" s="806">
        <v>0</v>
      </c>
      <c r="AU21" s="806">
        <v>0</v>
      </c>
      <c r="AV21" s="806">
        <v>0</v>
      </c>
    </row>
    <row r="22" spans="1:48" ht="15" x14ac:dyDescent="0.25">
      <c r="A22" s="720">
        <v>2200</v>
      </c>
      <c r="B22" s="636"/>
      <c r="C22" s="358" t="s">
        <v>15</v>
      </c>
      <c r="D22" s="815">
        <f t="shared" si="8"/>
        <v>167514</v>
      </c>
      <c r="E22" s="816">
        <f>30000+803</f>
        <v>30803</v>
      </c>
      <c r="F22" s="805">
        <v>5000</v>
      </c>
      <c r="G22" s="805">
        <f>90242+10609</f>
        <v>100851</v>
      </c>
      <c r="H22" s="805">
        <v>0</v>
      </c>
      <c r="I22" s="805">
        <v>0</v>
      </c>
      <c r="J22" s="805">
        <v>0</v>
      </c>
      <c r="K22" s="805">
        <v>0</v>
      </c>
      <c r="L22" s="805">
        <v>0</v>
      </c>
      <c r="M22" s="805">
        <v>0</v>
      </c>
      <c r="N22" s="805">
        <v>0</v>
      </c>
      <c r="O22" s="805">
        <v>0</v>
      </c>
      <c r="P22" s="805">
        <v>0</v>
      </c>
      <c r="Q22" s="805">
        <v>0</v>
      </c>
      <c r="R22" s="805">
        <v>0</v>
      </c>
      <c r="S22" s="805">
        <v>0</v>
      </c>
      <c r="T22" s="805">
        <v>0</v>
      </c>
      <c r="U22" s="805">
        <v>0</v>
      </c>
      <c r="V22" s="805">
        <v>0</v>
      </c>
      <c r="W22" s="805">
        <v>0</v>
      </c>
      <c r="X22" s="805">
        <v>0</v>
      </c>
      <c r="Y22" s="805">
        <v>0</v>
      </c>
      <c r="Z22" s="805">
        <v>0</v>
      </c>
      <c r="AA22" s="805">
        <v>0</v>
      </c>
      <c r="AB22" s="805">
        <v>0</v>
      </c>
      <c r="AC22" s="805">
        <v>0</v>
      </c>
      <c r="AD22" s="805">
        <v>0</v>
      </c>
      <c r="AE22" s="805">
        <v>19360</v>
      </c>
      <c r="AF22" s="805">
        <v>0</v>
      </c>
      <c r="AG22" s="805">
        <v>0</v>
      </c>
      <c r="AH22" s="805">
        <v>3500</v>
      </c>
      <c r="AI22" s="805">
        <v>0</v>
      </c>
      <c r="AJ22" s="805">
        <v>0</v>
      </c>
      <c r="AK22" s="805">
        <v>0</v>
      </c>
      <c r="AL22" s="805">
        <v>0</v>
      </c>
      <c r="AM22" s="805">
        <v>0</v>
      </c>
      <c r="AN22" s="805">
        <v>8000</v>
      </c>
      <c r="AO22" s="805"/>
      <c r="AP22" s="805">
        <v>0</v>
      </c>
      <c r="AQ22" s="805"/>
      <c r="AR22" s="805">
        <v>0</v>
      </c>
      <c r="AS22" s="805">
        <v>0</v>
      </c>
      <c r="AT22" s="805">
        <v>0</v>
      </c>
      <c r="AU22" s="805">
        <v>0</v>
      </c>
      <c r="AV22" s="805">
        <v>0</v>
      </c>
    </row>
    <row r="23" spans="1:48" ht="15" x14ac:dyDescent="0.25">
      <c r="A23" s="720">
        <v>2300</v>
      </c>
      <c r="B23" s="339"/>
      <c r="C23" s="351" t="s">
        <v>16</v>
      </c>
      <c r="D23" s="352">
        <f t="shared" si="8"/>
        <v>44858</v>
      </c>
      <c r="E23" s="340">
        <v>2000</v>
      </c>
      <c r="F23" s="340">
        <v>0</v>
      </c>
      <c r="G23" s="340">
        <f>7758+3000</f>
        <v>10758</v>
      </c>
      <c r="H23" s="340">
        <v>0</v>
      </c>
      <c r="I23" s="340">
        <v>0</v>
      </c>
      <c r="J23" s="340">
        <v>0</v>
      </c>
      <c r="K23" s="340">
        <v>0</v>
      </c>
      <c r="L23" s="340">
        <v>0</v>
      </c>
      <c r="M23" s="340">
        <v>0</v>
      </c>
      <c r="N23" s="340">
        <v>0</v>
      </c>
      <c r="O23" s="340">
        <v>0</v>
      </c>
      <c r="P23" s="340">
        <v>0</v>
      </c>
      <c r="Q23" s="340">
        <v>0</v>
      </c>
      <c r="R23" s="340">
        <v>0</v>
      </c>
      <c r="S23" s="340">
        <v>0</v>
      </c>
      <c r="T23" s="340">
        <v>0</v>
      </c>
      <c r="U23" s="340">
        <v>0</v>
      </c>
      <c r="V23" s="340">
        <v>0</v>
      </c>
      <c r="W23" s="340">
        <v>0</v>
      </c>
      <c r="X23" s="340">
        <v>0</v>
      </c>
      <c r="Y23" s="340">
        <v>0</v>
      </c>
      <c r="Z23" s="340">
        <v>0</v>
      </c>
      <c r="AA23" s="340">
        <v>0</v>
      </c>
      <c r="AB23" s="340">
        <v>0</v>
      </c>
      <c r="AC23" s="340">
        <v>0</v>
      </c>
      <c r="AD23" s="340">
        <v>0</v>
      </c>
      <c r="AE23" s="340">
        <v>0</v>
      </c>
      <c r="AF23" s="340">
        <v>0</v>
      </c>
      <c r="AG23" s="340">
        <v>0</v>
      </c>
      <c r="AH23" s="340">
        <v>22100</v>
      </c>
      <c r="AI23" s="340">
        <v>0</v>
      </c>
      <c r="AJ23" s="340">
        <v>0</v>
      </c>
      <c r="AK23" s="340">
        <v>0</v>
      </c>
      <c r="AL23" s="340">
        <v>0</v>
      </c>
      <c r="AM23" s="340">
        <v>0</v>
      </c>
      <c r="AN23" s="340">
        <v>10000</v>
      </c>
      <c r="AO23" s="340"/>
      <c r="AP23" s="340">
        <v>0</v>
      </c>
      <c r="AQ23" s="340"/>
      <c r="AR23" s="340">
        <v>0</v>
      </c>
      <c r="AS23" s="340">
        <v>0</v>
      </c>
      <c r="AT23" s="340">
        <v>0</v>
      </c>
      <c r="AU23" s="340">
        <v>0</v>
      </c>
      <c r="AV23" s="340">
        <v>0</v>
      </c>
    </row>
    <row r="24" spans="1:48" ht="15" x14ac:dyDescent="0.25">
      <c r="A24" s="720">
        <v>2400</v>
      </c>
      <c r="B24" s="339"/>
      <c r="C24" s="351" t="s">
        <v>213</v>
      </c>
      <c r="D24" s="352">
        <f t="shared" si="8"/>
        <v>0</v>
      </c>
      <c r="E24" s="340"/>
      <c r="F24" s="340"/>
      <c r="G24" s="341"/>
      <c r="H24" s="340"/>
      <c r="I24" s="340"/>
      <c r="J24" s="340"/>
      <c r="K24" s="340"/>
      <c r="L24" s="340"/>
      <c r="M24" s="340"/>
      <c r="N24" s="340"/>
      <c r="O24" s="340"/>
      <c r="P24" s="340"/>
      <c r="Q24" s="340"/>
      <c r="R24" s="340"/>
      <c r="S24" s="340"/>
      <c r="T24" s="340"/>
      <c r="U24" s="340"/>
      <c r="V24" s="340"/>
      <c r="W24" s="340"/>
      <c r="X24" s="340"/>
      <c r="Y24" s="340"/>
      <c r="Z24" s="340"/>
      <c r="AA24" s="340"/>
      <c r="AB24" s="340"/>
      <c r="AC24" s="340"/>
      <c r="AD24" s="340"/>
      <c r="AE24" s="340"/>
      <c r="AF24" s="340"/>
      <c r="AG24" s="340"/>
      <c r="AH24" s="340"/>
      <c r="AI24" s="340"/>
      <c r="AJ24" s="340"/>
      <c r="AK24" s="340"/>
      <c r="AL24" s="340"/>
      <c r="AM24" s="340"/>
      <c r="AN24" s="340"/>
      <c r="AO24" s="340"/>
      <c r="AP24" s="340"/>
      <c r="AQ24" s="340"/>
      <c r="AR24" s="340"/>
      <c r="AS24" s="340"/>
      <c r="AT24" s="340"/>
      <c r="AU24" s="340"/>
      <c r="AV24" s="340"/>
    </row>
    <row r="25" spans="1:48" ht="15" x14ac:dyDescent="0.25">
      <c r="A25" s="720">
        <v>2500</v>
      </c>
      <c r="B25" s="339"/>
      <c r="C25" s="351" t="s">
        <v>17</v>
      </c>
      <c r="D25" s="352">
        <f t="shared" si="8"/>
        <v>0</v>
      </c>
      <c r="E25" s="826">
        <v>0</v>
      </c>
      <c r="F25" s="340">
        <v>0</v>
      </c>
      <c r="G25" s="340">
        <v>0</v>
      </c>
      <c r="H25" s="340">
        <v>0</v>
      </c>
      <c r="I25" s="340">
        <v>0</v>
      </c>
      <c r="J25" s="340">
        <v>0</v>
      </c>
      <c r="K25" s="340">
        <v>0</v>
      </c>
      <c r="L25" s="340">
        <v>0</v>
      </c>
      <c r="M25" s="340">
        <v>0</v>
      </c>
      <c r="N25" s="340">
        <v>0</v>
      </c>
      <c r="O25" s="340">
        <v>0</v>
      </c>
      <c r="P25" s="340">
        <v>0</v>
      </c>
      <c r="Q25" s="340">
        <v>0</v>
      </c>
      <c r="R25" s="340">
        <v>0</v>
      </c>
      <c r="S25" s="340">
        <v>0</v>
      </c>
      <c r="T25" s="340">
        <v>0</v>
      </c>
      <c r="U25" s="340">
        <v>0</v>
      </c>
      <c r="V25" s="340">
        <v>0</v>
      </c>
      <c r="W25" s="340">
        <v>0</v>
      </c>
      <c r="X25" s="340">
        <v>0</v>
      </c>
      <c r="Y25" s="340">
        <v>0</v>
      </c>
      <c r="Z25" s="340">
        <v>0</v>
      </c>
      <c r="AA25" s="340">
        <v>0</v>
      </c>
      <c r="AB25" s="340">
        <v>0</v>
      </c>
      <c r="AC25" s="340">
        <v>0</v>
      </c>
      <c r="AD25" s="340">
        <v>0</v>
      </c>
      <c r="AE25" s="340">
        <v>0</v>
      </c>
      <c r="AF25" s="340">
        <v>0</v>
      </c>
      <c r="AG25" s="340">
        <v>0</v>
      </c>
      <c r="AH25" s="340">
        <v>0</v>
      </c>
      <c r="AI25" s="340">
        <v>0</v>
      </c>
      <c r="AJ25" s="340">
        <v>0</v>
      </c>
      <c r="AK25" s="340">
        <v>0</v>
      </c>
      <c r="AL25" s="340">
        <v>0</v>
      </c>
      <c r="AM25" s="340">
        <v>0</v>
      </c>
      <c r="AN25" s="340"/>
      <c r="AO25" s="340"/>
      <c r="AP25" s="340">
        <v>0</v>
      </c>
      <c r="AQ25" s="340"/>
      <c r="AR25" s="340">
        <v>0</v>
      </c>
      <c r="AS25" s="340">
        <v>0</v>
      </c>
      <c r="AT25" s="340">
        <v>0</v>
      </c>
      <c r="AU25" s="340">
        <v>0</v>
      </c>
      <c r="AV25" s="340">
        <v>0</v>
      </c>
    </row>
    <row r="26" spans="1:48" ht="15" x14ac:dyDescent="0.25">
      <c r="A26" s="720">
        <v>3200</v>
      </c>
      <c r="B26" s="339"/>
      <c r="C26" s="351" t="s">
        <v>214</v>
      </c>
      <c r="D26" s="352">
        <f t="shared" si="8"/>
        <v>72732</v>
      </c>
      <c r="E26" s="340">
        <v>6000</v>
      </c>
      <c r="F26" s="340"/>
      <c r="G26" s="340"/>
      <c r="H26" s="340"/>
      <c r="I26" s="340"/>
      <c r="J26" s="340"/>
      <c r="K26" s="340"/>
      <c r="L26" s="340"/>
      <c r="M26" s="340"/>
      <c r="N26" s="340"/>
      <c r="O26" s="340"/>
      <c r="P26" s="340"/>
      <c r="Q26" s="340"/>
      <c r="R26" s="340"/>
      <c r="S26" s="340"/>
      <c r="T26" s="340"/>
      <c r="U26" s="340"/>
      <c r="V26" s="340"/>
      <c r="W26" s="340"/>
      <c r="X26" s="340"/>
      <c r="Y26" s="340"/>
      <c r="Z26" s="340"/>
      <c r="AA26" s="340"/>
      <c r="AB26" s="340"/>
      <c r="AC26" s="340"/>
      <c r="AD26" s="340"/>
      <c r="AE26" s="340"/>
      <c r="AF26" s="340"/>
      <c r="AG26" s="340"/>
      <c r="AH26" s="340">
        <v>15000</v>
      </c>
      <c r="AI26" s="340">
        <v>3000</v>
      </c>
      <c r="AJ26" s="340"/>
      <c r="AK26" s="340"/>
      <c r="AL26" s="340"/>
      <c r="AM26" s="340"/>
      <c r="AN26" s="340"/>
      <c r="AO26" s="340"/>
      <c r="AP26" s="340">
        <v>20000</v>
      </c>
      <c r="AQ26" s="340"/>
      <c r="AR26" s="340">
        <f>15000-4418</f>
        <v>10582</v>
      </c>
      <c r="AS26" s="340"/>
      <c r="AT26" s="340"/>
      <c r="AU26" s="340"/>
      <c r="AV26" s="340">
        <v>18150</v>
      </c>
    </row>
    <row r="27" spans="1:48" ht="15" x14ac:dyDescent="0.25">
      <c r="A27" s="720">
        <v>4300</v>
      </c>
      <c r="B27" s="339"/>
      <c r="C27" s="351" t="s">
        <v>21</v>
      </c>
      <c r="D27" s="352">
        <f t="shared" si="8"/>
        <v>0</v>
      </c>
      <c r="E27" s="340"/>
      <c r="F27" s="340"/>
      <c r="G27" s="340"/>
      <c r="H27" s="340"/>
      <c r="I27" s="340"/>
      <c r="J27" s="340"/>
      <c r="K27" s="340"/>
      <c r="L27" s="340"/>
      <c r="M27" s="340"/>
      <c r="N27" s="340"/>
      <c r="O27" s="340"/>
      <c r="P27" s="340"/>
      <c r="Q27" s="340"/>
      <c r="R27" s="340"/>
      <c r="S27" s="340"/>
      <c r="T27" s="340"/>
      <c r="U27" s="340"/>
      <c r="V27" s="340"/>
      <c r="W27" s="340"/>
      <c r="X27" s="340"/>
      <c r="Y27" s="340"/>
      <c r="Z27" s="340"/>
      <c r="AA27" s="340"/>
      <c r="AB27" s="340"/>
      <c r="AC27" s="340"/>
      <c r="AD27" s="340"/>
      <c r="AE27" s="340"/>
      <c r="AF27" s="340"/>
      <c r="AG27" s="340"/>
      <c r="AH27" s="340"/>
      <c r="AI27" s="340"/>
      <c r="AJ27" s="340"/>
      <c r="AK27" s="340"/>
      <c r="AL27" s="340"/>
      <c r="AM27" s="340"/>
      <c r="AN27" s="340"/>
      <c r="AO27" s="340"/>
      <c r="AP27" s="340"/>
      <c r="AQ27" s="340"/>
      <c r="AR27" s="340"/>
      <c r="AS27" s="340"/>
      <c r="AT27" s="340"/>
      <c r="AU27" s="340"/>
      <c r="AV27" s="340"/>
    </row>
    <row r="28" spans="1:48" ht="15" x14ac:dyDescent="0.25">
      <c r="A28" s="720">
        <v>5100</v>
      </c>
      <c r="B28" s="339"/>
      <c r="C28" s="351" t="s">
        <v>22</v>
      </c>
      <c r="D28" s="352">
        <f t="shared" si="8"/>
        <v>0</v>
      </c>
      <c r="E28" s="340">
        <v>0</v>
      </c>
      <c r="F28" s="340">
        <v>0</v>
      </c>
      <c r="G28" s="340">
        <v>0</v>
      </c>
      <c r="H28" s="340">
        <v>0</v>
      </c>
      <c r="I28" s="340">
        <v>0</v>
      </c>
      <c r="J28" s="340">
        <v>0</v>
      </c>
      <c r="K28" s="340">
        <v>0</v>
      </c>
      <c r="L28" s="340">
        <v>0</v>
      </c>
      <c r="M28" s="340">
        <v>0</v>
      </c>
      <c r="N28" s="340">
        <v>0</v>
      </c>
      <c r="O28" s="340">
        <v>0</v>
      </c>
      <c r="P28" s="340">
        <v>0</v>
      </c>
      <c r="Q28" s="340">
        <v>0</v>
      </c>
      <c r="R28" s="340">
        <v>0</v>
      </c>
      <c r="S28" s="340">
        <v>0</v>
      </c>
      <c r="T28" s="340">
        <v>0</v>
      </c>
      <c r="U28" s="340">
        <v>0</v>
      </c>
      <c r="V28" s="340">
        <v>0</v>
      </c>
      <c r="W28" s="340">
        <v>0</v>
      </c>
      <c r="X28" s="340">
        <v>0</v>
      </c>
      <c r="Y28" s="340">
        <v>0</v>
      </c>
      <c r="Z28" s="340">
        <v>0</v>
      </c>
      <c r="AA28" s="340">
        <v>0</v>
      </c>
      <c r="AB28" s="340">
        <v>0</v>
      </c>
      <c r="AC28" s="340">
        <v>0</v>
      </c>
      <c r="AD28" s="340">
        <v>0</v>
      </c>
      <c r="AE28" s="340">
        <v>0</v>
      </c>
      <c r="AF28" s="340">
        <v>0</v>
      </c>
      <c r="AG28" s="340">
        <v>0</v>
      </c>
      <c r="AH28" s="340">
        <v>0</v>
      </c>
      <c r="AI28" s="340">
        <v>0</v>
      </c>
      <c r="AJ28" s="340">
        <v>0</v>
      </c>
      <c r="AK28" s="340">
        <v>0</v>
      </c>
      <c r="AL28" s="340">
        <v>0</v>
      </c>
      <c r="AM28" s="340">
        <v>0</v>
      </c>
      <c r="AN28" s="340"/>
      <c r="AO28" s="340"/>
      <c r="AP28" s="340">
        <v>0</v>
      </c>
      <c r="AQ28" s="340"/>
      <c r="AR28" s="340">
        <v>0</v>
      </c>
      <c r="AS28" s="340">
        <v>0</v>
      </c>
      <c r="AT28" s="340">
        <v>0</v>
      </c>
      <c r="AU28" s="340">
        <v>0</v>
      </c>
      <c r="AV28" s="340">
        <v>0</v>
      </c>
    </row>
    <row r="29" spans="1:48" ht="15" x14ac:dyDescent="0.25">
      <c r="A29" s="720">
        <v>5200</v>
      </c>
      <c r="B29" s="339"/>
      <c r="C29" s="351" t="s">
        <v>23</v>
      </c>
      <c r="D29" s="352">
        <f t="shared" si="8"/>
        <v>8243272</v>
      </c>
      <c r="E29" s="340">
        <v>48694</v>
      </c>
      <c r="F29" s="340">
        <v>0</v>
      </c>
      <c r="G29" s="340">
        <f>12000+4114</f>
        <v>16114</v>
      </c>
      <c r="H29" s="340">
        <v>319720</v>
      </c>
      <c r="I29" s="340">
        <f>187586+40819</f>
        <v>228405</v>
      </c>
      <c r="J29" s="340">
        <v>46402</v>
      </c>
      <c r="K29" s="340">
        <f>771427+13500</f>
        <v>784927</v>
      </c>
      <c r="L29" s="340">
        <f>433692+27100+19740</f>
        <v>480532</v>
      </c>
      <c r="M29" s="340">
        <v>85400</v>
      </c>
      <c r="N29" s="340">
        <v>29354</v>
      </c>
      <c r="O29" s="340">
        <v>619622</v>
      </c>
      <c r="P29" s="340">
        <v>2613</v>
      </c>
      <c r="Q29" s="340">
        <f>345535-35856</f>
        <v>309679</v>
      </c>
      <c r="R29" s="340">
        <f>1343000-607041</f>
        <v>735959</v>
      </c>
      <c r="S29" s="340">
        <f>276409-66043</f>
        <v>210366</v>
      </c>
      <c r="T29" s="340">
        <f>471547-50622</f>
        <v>420925</v>
      </c>
      <c r="U29" s="340">
        <f>968200-810319</f>
        <v>157881</v>
      </c>
      <c r="V29" s="340">
        <f>159140-53198</f>
        <v>105942</v>
      </c>
      <c r="W29" s="340">
        <f>214800-73617</f>
        <v>141183</v>
      </c>
      <c r="X29" s="340">
        <f>221430-2954</f>
        <v>218476</v>
      </c>
      <c r="Y29" s="340">
        <f>245800+141240</f>
        <v>387040</v>
      </c>
      <c r="Z29" s="340">
        <f>90000-90000</f>
        <v>0</v>
      </c>
      <c r="AA29" s="340">
        <f>146000+31727</f>
        <v>177727</v>
      </c>
      <c r="AB29" s="340">
        <v>120000</v>
      </c>
      <c r="AC29" s="340">
        <f>134000+7393</f>
        <v>141393</v>
      </c>
      <c r="AD29" s="340">
        <v>274036</v>
      </c>
      <c r="AE29" s="340">
        <v>0</v>
      </c>
      <c r="AF29" s="340">
        <v>510528</v>
      </c>
      <c r="AG29" s="340">
        <v>100000</v>
      </c>
      <c r="AH29" s="340">
        <v>3000</v>
      </c>
      <c r="AI29" s="340">
        <v>0</v>
      </c>
      <c r="AJ29" s="340">
        <f>29434+332</f>
        <v>29766</v>
      </c>
      <c r="AK29" s="340">
        <v>54450</v>
      </c>
      <c r="AL29" s="340">
        <v>40000</v>
      </c>
      <c r="AM29" s="340">
        <v>100000</v>
      </c>
      <c r="AN29" s="340"/>
      <c r="AO29" s="340">
        <v>300390</v>
      </c>
      <c r="AP29" s="340">
        <v>0</v>
      </c>
      <c r="AQ29" s="340">
        <v>382500</v>
      </c>
      <c r="AR29" s="340">
        <v>0</v>
      </c>
      <c r="AS29" s="340">
        <f>465736+4020</f>
        <v>469756</v>
      </c>
      <c r="AT29" s="340">
        <v>91600</v>
      </c>
      <c r="AU29" s="340">
        <v>98892</v>
      </c>
      <c r="AV29" s="340">
        <v>0</v>
      </c>
    </row>
    <row r="30" spans="1:48" ht="15" x14ac:dyDescent="0.25">
      <c r="A30" s="720">
        <v>6200</v>
      </c>
      <c r="B30" s="339"/>
      <c r="C30" s="351" t="s">
        <v>24</v>
      </c>
      <c r="D30" s="352">
        <f t="shared" si="8"/>
        <v>0</v>
      </c>
      <c r="E30" s="340"/>
      <c r="F30" s="340"/>
      <c r="G30" s="340"/>
      <c r="H30" s="340"/>
      <c r="I30" s="340"/>
      <c r="J30" s="340"/>
      <c r="K30" s="340"/>
      <c r="L30" s="340"/>
      <c r="M30" s="340"/>
      <c r="N30" s="340"/>
      <c r="O30" s="340"/>
      <c r="P30" s="340"/>
      <c r="Q30" s="340"/>
      <c r="R30" s="340"/>
      <c r="S30" s="340"/>
      <c r="T30" s="340"/>
      <c r="U30" s="340"/>
      <c r="V30" s="340"/>
      <c r="W30" s="340"/>
      <c r="X30" s="340"/>
      <c r="Y30" s="340"/>
      <c r="Z30" s="340"/>
      <c r="AA30" s="340"/>
      <c r="AB30" s="340"/>
      <c r="AC30" s="340"/>
      <c r="AD30" s="340"/>
      <c r="AE30" s="340"/>
      <c r="AF30" s="340"/>
      <c r="AG30" s="340"/>
      <c r="AH30" s="340"/>
      <c r="AI30" s="340"/>
      <c r="AJ30" s="340"/>
      <c r="AK30" s="340"/>
      <c r="AL30" s="340"/>
      <c r="AM30" s="340"/>
      <c r="AN30" s="340"/>
      <c r="AO30" s="340"/>
      <c r="AP30" s="340"/>
      <c r="AQ30" s="340"/>
      <c r="AR30" s="340"/>
      <c r="AS30" s="340"/>
      <c r="AT30" s="340"/>
      <c r="AU30" s="340"/>
      <c r="AV30" s="340"/>
    </row>
    <row r="31" spans="1:48" ht="15" x14ac:dyDescent="0.25">
      <c r="A31" s="721">
        <v>7200</v>
      </c>
      <c r="B31" s="817"/>
      <c r="C31" s="827" t="s">
        <v>215</v>
      </c>
      <c r="D31" s="352">
        <f t="shared" si="8"/>
        <v>0</v>
      </c>
      <c r="E31" s="345"/>
      <c r="F31" s="345"/>
      <c r="G31" s="345"/>
      <c r="H31" s="345"/>
      <c r="I31" s="345"/>
      <c r="J31" s="345"/>
      <c r="K31" s="345"/>
      <c r="L31" s="345"/>
      <c r="M31" s="345"/>
      <c r="N31" s="345"/>
      <c r="O31" s="345"/>
      <c r="P31" s="345"/>
      <c r="Q31" s="345"/>
      <c r="R31" s="345"/>
      <c r="S31" s="345"/>
      <c r="T31" s="345"/>
      <c r="U31" s="345"/>
      <c r="V31" s="345"/>
      <c r="W31" s="345"/>
      <c r="X31" s="345"/>
      <c r="Y31" s="345"/>
      <c r="Z31" s="345"/>
      <c r="AA31" s="345"/>
      <c r="AB31" s="345"/>
      <c r="AC31" s="345"/>
      <c r="AD31" s="345"/>
      <c r="AE31" s="345"/>
      <c r="AF31" s="345"/>
      <c r="AG31" s="345"/>
      <c r="AH31" s="345"/>
      <c r="AI31" s="345"/>
      <c r="AJ31" s="345"/>
      <c r="AK31" s="345"/>
      <c r="AL31" s="345"/>
      <c r="AM31" s="345"/>
      <c r="AN31" s="345"/>
      <c r="AO31" s="345"/>
      <c r="AP31" s="345"/>
      <c r="AQ31" s="345"/>
      <c r="AR31" s="345"/>
      <c r="AS31" s="345"/>
      <c r="AT31" s="345"/>
      <c r="AU31" s="345"/>
      <c r="AV31" s="345"/>
    </row>
    <row r="32" spans="1:48" ht="15.75" thickBot="1" x14ac:dyDescent="0.3">
      <c r="A32" s="721">
        <v>7700</v>
      </c>
      <c r="B32" s="817"/>
      <c r="C32" s="827" t="s">
        <v>128</v>
      </c>
      <c r="D32" s="352">
        <f t="shared" si="8"/>
        <v>0</v>
      </c>
      <c r="E32" s="345"/>
      <c r="F32" s="345"/>
      <c r="G32" s="345"/>
      <c r="H32" s="345"/>
      <c r="I32" s="345"/>
      <c r="J32" s="345"/>
      <c r="K32" s="345"/>
      <c r="L32" s="345"/>
      <c r="M32" s="345"/>
      <c r="N32" s="345"/>
      <c r="O32" s="345"/>
      <c r="P32" s="345"/>
      <c r="Q32" s="345"/>
      <c r="R32" s="345"/>
      <c r="S32" s="345"/>
      <c r="T32" s="345"/>
      <c r="U32" s="345"/>
      <c r="V32" s="345"/>
      <c r="W32" s="345"/>
      <c r="X32" s="345"/>
      <c r="Y32" s="345"/>
      <c r="Z32" s="345"/>
      <c r="AA32" s="345"/>
      <c r="AB32" s="345"/>
      <c r="AC32" s="345"/>
      <c r="AD32" s="345"/>
      <c r="AE32" s="345"/>
      <c r="AF32" s="345"/>
      <c r="AG32" s="345"/>
      <c r="AH32" s="345"/>
      <c r="AI32" s="345"/>
      <c r="AJ32" s="345"/>
      <c r="AK32" s="345"/>
      <c r="AL32" s="345"/>
      <c r="AM32" s="345"/>
      <c r="AN32" s="345"/>
      <c r="AO32" s="345"/>
      <c r="AP32" s="345"/>
      <c r="AQ32" s="345"/>
      <c r="AR32" s="345"/>
      <c r="AS32" s="345"/>
      <c r="AT32" s="345"/>
      <c r="AU32" s="345"/>
      <c r="AV32" s="345"/>
    </row>
    <row r="33" spans="1:48" ht="15" thickBot="1" x14ac:dyDescent="0.25">
      <c r="A33" s="633"/>
      <c r="B33" s="818"/>
      <c r="C33" s="347" t="s">
        <v>26</v>
      </c>
      <c r="D33" s="356">
        <f t="shared" ref="D33:AV33" si="9">SUM(D18+D19+D20+D26+D27+D28+D29+D30+D31+D32)</f>
        <v>8530376</v>
      </c>
      <c r="E33" s="357">
        <f t="shared" si="9"/>
        <v>87497</v>
      </c>
      <c r="F33" s="819">
        <f t="shared" si="9"/>
        <v>5000</v>
      </c>
      <c r="G33" s="819">
        <f t="shared" si="9"/>
        <v>127723</v>
      </c>
      <c r="H33" s="819">
        <f t="shared" si="9"/>
        <v>319720</v>
      </c>
      <c r="I33" s="819">
        <f t="shared" si="9"/>
        <v>228405</v>
      </c>
      <c r="J33" s="819">
        <f t="shared" si="9"/>
        <v>46402</v>
      </c>
      <c r="K33" s="819">
        <f t="shared" si="9"/>
        <v>784927</v>
      </c>
      <c r="L33" s="819">
        <f t="shared" si="9"/>
        <v>480532</v>
      </c>
      <c r="M33" s="819">
        <f t="shared" si="9"/>
        <v>85400</v>
      </c>
      <c r="N33" s="819">
        <f t="shared" si="9"/>
        <v>29354</v>
      </c>
      <c r="O33" s="819">
        <f t="shared" si="9"/>
        <v>619622</v>
      </c>
      <c r="P33" s="819">
        <f>SUM(P18+P19+P20+P26+P27+P28+P29+P30+P31+P32)</f>
        <v>2613</v>
      </c>
      <c r="Q33" s="819">
        <f t="shared" si="9"/>
        <v>309679</v>
      </c>
      <c r="R33" s="819">
        <f t="shared" si="9"/>
        <v>735959</v>
      </c>
      <c r="S33" s="819">
        <f t="shared" si="9"/>
        <v>210366</v>
      </c>
      <c r="T33" s="819">
        <f t="shared" si="9"/>
        <v>420925</v>
      </c>
      <c r="U33" s="819">
        <f t="shared" si="9"/>
        <v>157881</v>
      </c>
      <c r="V33" s="819">
        <f t="shared" si="9"/>
        <v>105942</v>
      </c>
      <c r="W33" s="819">
        <f t="shared" si="9"/>
        <v>141183</v>
      </c>
      <c r="X33" s="819">
        <f t="shared" si="9"/>
        <v>218476</v>
      </c>
      <c r="Y33" s="819">
        <f t="shared" si="9"/>
        <v>387040</v>
      </c>
      <c r="Z33" s="819">
        <f t="shared" si="9"/>
        <v>0</v>
      </c>
      <c r="AA33" s="819">
        <f t="shared" si="9"/>
        <v>177727</v>
      </c>
      <c r="AB33" s="819">
        <f t="shared" si="9"/>
        <v>120000</v>
      </c>
      <c r="AC33" s="819">
        <f t="shared" si="9"/>
        <v>141393</v>
      </c>
      <c r="AD33" s="819">
        <f t="shared" ref="AD33" si="10">SUM(AD18+AD19+AD20+AD26+AD27+AD28+AD29+AD30+AD31+AD32)</f>
        <v>274036</v>
      </c>
      <c r="AE33" s="819">
        <f t="shared" si="9"/>
        <v>19360</v>
      </c>
      <c r="AF33" s="819">
        <f>SUM(AF18+AF19+AF20+AF26+AF27+AF28+AF29+AF30+AF31+AF32)</f>
        <v>510528</v>
      </c>
      <c r="AG33" s="819">
        <f>SUM(AG18+AG19+AG20+AG26+AG27+AG28+AG29+AG30+AG31+AG32)</f>
        <v>100000</v>
      </c>
      <c r="AH33" s="819">
        <f t="shared" si="9"/>
        <v>43600</v>
      </c>
      <c r="AI33" s="819">
        <f t="shared" si="9"/>
        <v>3000</v>
      </c>
      <c r="AJ33" s="819">
        <f t="shared" si="9"/>
        <v>29766</v>
      </c>
      <c r="AK33" s="819">
        <f t="shared" si="9"/>
        <v>54450</v>
      </c>
      <c r="AL33" s="819">
        <f t="shared" si="9"/>
        <v>40000</v>
      </c>
      <c r="AM33" s="819">
        <f>SUM(AM18+AM19+AM20+AM26+AM27+AM28+AM29+AM30+AM31+AM32)</f>
        <v>100000</v>
      </c>
      <c r="AN33" s="819">
        <f>SUM(AN18+AN19+AN20+AN26+AN27+AN28+AN29+AN30+AN31+AN32)</f>
        <v>20000</v>
      </c>
      <c r="AO33" s="819">
        <f>SUM(AO18+AO19+AO20+AO26+AO27+AO28+AO29+AO30+AO31+AO32)</f>
        <v>300390</v>
      </c>
      <c r="AP33" s="819">
        <f>SUM(AP18+AP19+AP20+AP26+AP27+AP28+AP29+AP30+AP31+AP32)</f>
        <v>20000</v>
      </c>
      <c r="AQ33" s="819">
        <f>SUM(AQ18+AQ19+AQ20+AQ26+AQ27+AQ28+AQ29+AQ30+AQ31+AQ32)</f>
        <v>382500</v>
      </c>
      <c r="AR33" s="819">
        <f t="shared" si="9"/>
        <v>10582</v>
      </c>
      <c r="AS33" s="819">
        <f t="shared" si="9"/>
        <v>469756</v>
      </c>
      <c r="AT33" s="819">
        <f t="shared" ref="AT33:AU33" si="11">SUM(AT18+AT19+AT20+AT26+AT27+AT28+AT29+AT30+AT31+AT32)</f>
        <v>91600</v>
      </c>
      <c r="AU33" s="819">
        <f t="shared" si="11"/>
        <v>98892</v>
      </c>
      <c r="AV33" s="819">
        <f t="shared" si="9"/>
        <v>18150</v>
      </c>
    </row>
    <row r="34" spans="1:48" ht="15.75" thickBot="1" x14ac:dyDescent="0.3">
      <c r="A34" s="644"/>
      <c r="B34" s="820"/>
      <c r="C34" s="353"/>
      <c r="D34" s="360">
        <f t="shared" ref="D34:AV34" si="12">D15-D33</f>
        <v>0</v>
      </c>
      <c r="E34" s="360">
        <f t="shared" si="12"/>
        <v>0</v>
      </c>
      <c r="F34" s="360">
        <f t="shared" si="12"/>
        <v>0</v>
      </c>
      <c r="G34" s="360">
        <f t="shared" si="12"/>
        <v>0</v>
      </c>
      <c r="H34" s="360">
        <f t="shared" si="12"/>
        <v>0</v>
      </c>
      <c r="I34" s="360">
        <f t="shared" si="12"/>
        <v>0</v>
      </c>
      <c r="J34" s="360">
        <f t="shared" si="12"/>
        <v>0</v>
      </c>
      <c r="K34" s="360">
        <f t="shared" si="12"/>
        <v>0</v>
      </c>
      <c r="L34" s="360">
        <f t="shared" si="12"/>
        <v>0</v>
      </c>
      <c r="M34" s="360">
        <f t="shared" si="12"/>
        <v>0</v>
      </c>
      <c r="N34" s="360">
        <f t="shared" si="12"/>
        <v>0</v>
      </c>
      <c r="O34" s="360">
        <f t="shared" si="12"/>
        <v>0</v>
      </c>
      <c r="P34" s="360">
        <f>P15-P33</f>
        <v>0</v>
      </c>
      <c r="Q34" s="360">
        <f t="shared" si="12"/>
        <v>0</v>
      </c>
      <c r="R34" s="360">
        <f t="shared" si="12"/>
        <v>0</v>
      </c>
      <c r="S34" s="360">
        <f t="shared" si="12"/>
        <v>0</v>
      </c>
      <c r="T34" s="360">
        <f t="shared" si="12"/>
        <v>0</v>
      </c>
      <c r="U34" s="360">
        <f t="shared" si="12"/>
        <v>0</v>
      </c>
      <c r="V34" s="360">
        <f t="shared" si="12"/>
        <v>0</v>
      </c>
      <c r="W34" s="360">
        <f t="shared" si="12"/>
        <v>0</v>
      </c>
      <c r="X34" s="360">
        <f t="shared" si="12"/>
        <v>0</v>
      </c>
      <c r="Y34" s="360">
        <f t="shared" si="12"/>
        <v>0</v>
      </c>
      <c r="Z34" s="360">
        <f t="shared" si="12"/>
        <v>0</v>
      </c>
      <c r="AA34" s="360">
        <f t="shared" si="12"/>
        <v>0</v>
      </c>
      <c r="AB34" s="360">
        <f t="shared" si="12"/>
        <v>0</v>
      </c>
      <c r="AC34" s="360">
        <f t="shared" si="12"/>
        <v>0</v>
      </c>
      <c r="AD34" s="360">
        <f t="shared" ref="AD34" si="13">AD15-AD33</f>
        <v>0</v>
      </c>
      <c r="AE34" s="360">
        <f t="shared" si="12"/>
        <v>0</v>
      </c>
      <c r="AF34" s="360">
        <f>AF15-AF33</f>
        <v>0</v>
      </c>
      <c r="AG34" s="360">
        <f>AG15-AG33</f>
        <v>0</v>
      </c>
      <c r="AH34" s="360">
        <f t="shared" si="12"/>
        <v>0</v>
      </c>
      <c r="AI34" s="360">
        <f t="shared" si="12"/>
        <v>0</v>
      </c>
      <c r="AJ34" s="360">
        <f t="shared" si="12"/>
        <v>0</v>
      </c>
      <c r="AK34" s="360">
        <f t="shared" si="12"/>
        <v>0</v>
      </c>
      <c r="AL34" s="360">
        <f t="shared" si="12"/>
        <v>0</v>
      </c>
      <c r="AM34" s="360">
        <f>AM15-AM33</f>
        <v>0</v>
      </c>
      <c r="AN34" s="360">
        <f>AN15-AN33</f>
        <v>0</v>
      </c>
      <c r="AO34" s="360">
        <f>AO15-AO33</f>
        <v>0</v>
      </c>
      <c r="AP34" s="360">
        <f>AP15-AP33</f>
        <v>0</v>
      </c>
      <c r="AQ34" s="360">
        <f>AQ15-AQ33</f>
        <v>0</v>
      </c>
      <c r="AR34" s="360">
        <f t="shared" si="12"/>
        <v>0</v>
      </c>
      <c r="AS34" s="360">
        <f t="shared" si="12"/>
        <v>0</v>
      </c>
      <c r="AT34" s="360">
        <f t="shared" ref="AT34:AU34" si="14">AT15-AT33</f>
        <v>0</v>
      </c>
      <c r="AU34" s="360">
        <f t="shared" si="14"/>
        <v>0</v>
      </c>
      <c r="AV34" s="360">
        <f t="shared" si="12"/>
        <v>0</v>
      </c>
    </row>
    <row r="36" spans="1:48" ht="15" x14ac:dyDescent="0.25">
      <c r="C36" s="8" t="s">
        <v>149</v>
      </c>
      <c r="D36" s="217"/>
      <c r="E36" s="217"/>
      <c r="F36" s="1" t="s">
        <v>41</v>
      </c>
    </row>
  </sheetData>
  <mergeCells count="2">
    <mergeCell ref="A5:C5"/>
    <mergeCell ref="A6:C6"/>
  </mergeCells>
  <pageMargins left="0.31496062992125984" right="0.31496062992125984" top="0.55118110236220474" bottom="0.35433070866141736" header="0.31496062992125984" footer="0.31496062992125984"/>
  <pageSetup paperSize="8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21</vt:i4>
      </vt:variant>
    </vt:vector>
  </HeadingPairs>
  <TitlesOfParts>
    <vt:vector size="21" baseType="lpstr">
      <vt:lpstr>PII</vt:lpstr>
      <vt:lpstr>Skolas</vt:lpstr>
      <vt:lpstr>Māksl.</vt:lpstr>
      <vt:lpstr>Sp.centrs</vt:lpstr>
      <vt:lpstr>Kult.iest.</vt:lpstr>
      <vt:lpstr>Kult. aktiv.2021</vt:lpstr>
      <vt:lpstr>Polic.</vt:lpstr>
      <vt:lpstr>Soc.apr.</vt:lpstr>
      <vt:lpstr>Pašv. proj. 2021</vt:lpstr>
      <vt:lpstr>ES proj.2021</vt:lpstr>
      <vt:lpstr>Izglīt.soc.proj.2021</vt:lpstr>
      <vt:lpstr>Izpildvara</vt:lpstr>
      <vt:lpstr>Būvvalde</vt:lpstr>
      <vt:lpstr>Tautsaimn.</vt:lpstr>
      <vt:lpstr>Fin. PA Ogres komunik.</vt:lpstr>
      <vt:lpstr>Fin. SIA Ogres namsaimn.</vt:lpstr>
      <vt:lpstr>Tauts.atšifr.</vt:lpstr>
      <vt:lpstr>Pārējās dažādas funkc.</vt:lpstr>
      <vt:lpstr>SP.komandu atb. 2021</vt:lpstr>
      <vt:lpstr>Lapa1</vt:lpstr>
      <vt:lpstr>Sheet2</vt:lpstr>
    </vt:vector>
  </TitlesOfParts>
  <Company>Private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Installer</dc:creator>
  <cp:lastModifiedBy>Santa Hermane</cp:lastModifiedBy>
  <cp:lastPrinted>2021-08-05T10:52:12Z</cp:lastPrinted>
  <dcterms:created xsi:type="dcterms:W3CDTF">2007-01-07T18:55:45Z</dcterms:created>
  <dcterms:modified xsi:type="dcterms:W3CDTF">2021-08-05T10:52:25Z</dcterms:modified>
</cp:coreProperties>
</file>